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TRABAJO\Mosquitoes\spreadsheets\version final\"/>
    </mc:Choice>
  </mc:AlternateContent>
  <xr:revisionPtr revIDLastSave="0" documentId="13_ncr:1_{A771CDC5-07BD-4E14-A051-A2062BF6F561}" xr6:coauthVersionLast="36" xr6:coauthVersionMax="36" xr10:uidLastSave="{00000000-0000-0000-0000-000000000000}"/>
  <bookViews>
    <workbookView xWindow="0" yWindow="0" windowWidth="21570" windowHeight="8730" tabRatio="876" xr2:uid="{00000000-000D-0000-FFFF-FFFF00000000}"/>
  </bookViews>
  <sheets>
    <sheet name="INTRO" sheetId="20" r:id="rId1"/>
    <sheet name="MENU" sheetId="19" r:id="rId2"/>
    <sheet name="01 Start up &amp; Summary" sheetId="3" r:id="rId3"/>
    <sheet name="02 Mass rearing Process" sheetId="39" r:id="rId4"/>
    <sheet name="03 Pro Par" sheetId="8" r:id="rId5"/>
    <sheet name="04 Release Facility" sheetId="6" r:id="rId6"/>
    <sheet name="05 Mass rearing Facility" sheetId="7" r:id="rId7"/>
    <sheet name="06 Diet formulation" sheetId="12" r:id="rId8"/>
    <sheet name="07 Diet requirements" sheetId="9" r:id="rId9"/>
    <sheet name="08 Storage of diet ingr." sheetId="13" r:id="rId10"/>
    <sheet name="09 Rearing Equip." sheetId="10" r:id="rId11"/>
    <sheet name="10 H T Env" sheetId="37" r:id="rId12"/>
    <sheet name="11 Water" sheetId="41" r:id="rId13"/>
    <sheet name="12 Area cal." sheetId="15" r:id="rId14"/>
    <sheet name="13 Const. cost" sheetId="42" r:id="rId15"/>
    <sheet name="14 Workload" sheetId="43" r:id="rId16"/>
    <sheet name="15 Equipment-budget" sheetId="35" r:id="rId17"/>
    <sheet name="16 Diet-cost" sheetId="32" r:id="rId18"/>
  </sheets>
  <definedNames>
    <definedName name="adult_diet_mixer_capacity">'03 Pro Par'!#REF!</definedName>
    <definedName name="Adults_in_colony_cages" localSheetId="14">'03 Pro Par'!$I$42</definedName>
    <definedName name="Adults_in_colony_cages" localSheetId="15">'03 Pro Par'!$I$42</definedName>
    <definedName name="Adults_in_colony_cages">'03 Pro Par'!$I$40</definedName>
    <definedName name="adults_per_filter_cage" localSheetId="12">'03 Pro Par'!#REF!</definedName>
    <definedName name="adults_per_filter_cage" localSheetId="14">'03 Pro Par'!#REF!</definedName>
    <definedName name="adults_per_filter_cage" localSheetId="15">'03 Pro Par'!#REF!</definedName>
    <definedName name="adults_per_filter_cage">'03 Pro Par'!#REF!</definedName>
    <definedName name="Average_Blood_intake_per_female" localSheetId="14">'06 Diet formulation'!$C$41</definedName>
    <definedName name="Average_Blood_intake_per_female" localSheetId="15">'06 Diet formulation'!$C$41</definedName>
    <definedName name="Average_Blood_intake_per_female">'06 Diet formulation'!$C$41</definedName>
    <definedName name="Average_egg_hatching_rate_after_stockpiling" localSheetId="12">'03 Pro Par'!#REF!</definedName>
    <definedName name="Average_egg_hatching_rate_after_stockpiling" localSheetId="14">'03 Pro Par'!#REF!</definedName>
    <definedName name="Average_egg_hatching_rate_after_stockpiling" localSheetId="15">'03 Pro Par'!#REF!</definedName>
    <definedName name="Average_egg_hatching_rate_after_stockpiling">'03 Pro Par'!#REF!</definedName>
    <definedName name="Average_number_of_eggs_per_female_for_the_1st_gonotrophic_cycle" localSheetId="14">'03 Pro Par'!$I$13</definedName>
    <definedName name="Average_number_of_eggs_per_female_for_the_1st_gonotrophic_cycle" localSheetId="15">'03 Pro Par'!$I$13</definedName>
    <definedName name="Average_number_of_eggs_per_female_for_the_1st_gonotrophic_cycle">'03 Pro Par'!$I$13</definedName>
    <definedName name="Average_number_of_eggs_per_female_for_the_2nd_gonotrophic_cycle" localSheetId="14">'03 Pro Par'!$I$14</definedName>
    <definedName name="Average_number_of_eggs_per_female_for_the_2nd_gonotrophic_cycle" localSheetId="15">'03 Pro Par'!$I$14</definedName>
    <definedName name="Average_number_of_eggs_per_female_for_the_2nd_gonotrophic_cycle">'03 Pro Par'!$I$14</definedName>
    <definedName name="Average_number_of_eggs_per_female_for_the_3rd_gonotrophic_cycle" localSheetId="14">'03 Pro Par'!$I$15</definedName>
    <definedName name="Average_number_of_eggs_per_female_for_the_3rd_gonotrophic_cycle" localSheetId="15">'03 Pro Par'!$I$15</definedName>
    <definedName name="Average_number_of_eggs_per_female_for_the_3rd_gonotrophic_cycle">'03 Pro Par'!$I$15</definedName>
    <definedName name="Average_ovipositing_rate_during_oviposition_period" localSheetId="14">'03 Pro Par'!$I$16</definedName>
    <definedName name="Average_ovipositing_rate_during_oviposition_period" localSheetId="15">'03 Pro Par'!$I$16</definedName>
    <definedName name="Average_ovipositing_rate_during_oviposition_period">'03 Pro Par'!$I$16</definedName>
    <definedName name="Beef_liver_powder" localSheetId="14">'06 Diet formulation'!$C$6</definedName>
    <definedName name="Beef_liver_powder" localSheetId="15">'06 Diet formulation'!$C$6</definedName>
    <definedName name="Beef_liver_powder">'06 Diet formulation'!$C$6</definedName>
    <definedName name="Beef_liver_powder_percentage">'06 Diet formulation'!$C$6</definedName>
    <definedName name="beef_liver_powder_perecntage">'06 Diet formulation'!$C$6</definedName>
    <definedName name="beef_liver_powder_required_daily_for_colony" localSheetId="12">'11 Water'!#REF!</definedName>
    <definedName name="beef_liver_powder_required_daily_for_colony" localSheetId="14">'07 Diet requirements'!#REF!</definedName>
    <definedName name="beef_liver_powder_required_daily_for_colony" localSheetId="15">'07 Diet requirements'!#REF!</definedName>
    <definedName name="beef_liver_powder_required_daily_for_colony">'07 Diet requirements'!#REF!</definedName>
    <definedName name="beef_liver_powder_required_daily_for_MO" localSheetId="12">'11 Water'!#REF!</definedName>
    <definedName name="beef_liver_powder_required_daily_for_MO" localSheetId="14">'07 Diet requirements'!#REF!</definedName>
    <definedName name="beef_liver_powder_required_daily_for_MO" localSheetId="15">'07 Diet requirements'!#REF!</definedName>
    <definedName name="beef_liver_powder_required_daily_for_MO">'07 Diet requirements'!#REF!</definedName>
    <definedName name="Blood_for_colony_females_per_day">'06 Diet formulation'!$C$43</definedName>
    <definedName name="Blood_for_filter_females_per_day" localSheetId="12">'06 Diet formulation'!#REF!</definedName>
    <definedName name="Blood_for_filter_females_per_day" localSheetId="14">'06 Diet formulation'!#REF!</definedName>
    <definedName name="Blood_for_filter_females_per_day" localSheetId="15">'06 Diet formulation'!#REF!</definedName>
    <definedName name="Blood_for_filter_females_per_day">'06 Diet formulation'!#REF!</definedName>
    <definedName name="blood_needed_daily_for_colony_cages" localSheetId="12">#REF!</definedName>
    <definedName name="blood_needed_daily_for_colony_cages" localSheetId="14">#REF!</definedName>
    <definedName name="blood_needed_daily_for_colony_cages" localSheetId="15">#REF!</definedName>
    <definedName name="blood_needed_daily_for_colony_cages">#REF!</definedName>
    <definedName name="blood_needed_weekly_for_colony_cages" localSheetId="12">#REF!</definedName>
    <definedName name="blood_needed_weekly_for_colony_cages" localSheetId="14">#REF!</definedName>
    <definedName name="blood_needed_weekly_for_colony_cages" localSheetId="15">#REF!</definedName>
    <definedName name="blood_needed_weekly_for_colony_cages">#REF!</definedName>
    <definedName name="Brewer_yeast" localSheetId="14">'06 Diet formulation'!$C$8</definedName>
    <definedName name="Brewer_yeast" localSheetId="15">'06 Diet formulation'!$C$8</definedName>
    <definedName name="Brewer_yeast">'06 Diet formulation'!$C$8</definedName>
    <definedName name="Brewer_yeast__percentage">'06 Diet formulation'!$C$8</definedName>
    <definedName name="Brewer_yeast_required_daily_for_colony" localSheetId="12">'11 Water'!#REF!</definedName>
    <definedName name="Brewer_yeast_required_daily_for_colony" localSheetId="14">'07 Diet requirements'!#REF!</definedName>
    <definedName name="Brewer_yeast_required_daily_for_colony" localSheetId="15">'07 Diet requirements'!#REF!</definedName>
    <definedName name="Brewer_yeast_required_daily_for_colony">'07 Diet requirements'!#REF!</definedName>
    <definedName name="Brewer_yeast_required_daily_for_MO" localSheetId="12">'11 Water'!#REF!</definedName>
    <definedName name="Brewer_yeast_required_daily_for_MO" localSheetId="14">'07 Diet requirements'!#REF!</definedName>
    <definedName name="Brewer_yeast_required_daily_for_MO" localSheetId="15">'07 Diet requirements'!#REF!</definedName>
    <definedName name="Brewer_yeast_required_daily_for_MO">'07 Diet requirements'!#REF!</definedName>
    <definedName name="Brewers_yeast_percentage">'06 Diet formulation'!$C$8</definedName>
    <definedName name="Cage_units_to_be_loaded_per_day_in_the_filter_colony" localSheetId="12">'05 Mass rearing Facility'!#REF!</definedName>
    <definedName name="Cage_units_to_be_loaded_per_day_in_the_filter_colony" localSheetId="14">'05 Mass rearing Facility'!#REF!</definedName>
    <definedName name="Cage_units_to_be_loaded_per_day_in_the_filter_colony" localSheetId="15">'05 Mass rearing Facility'!#REF!</definedName>
    <definedName name="Cage_units_to_be_loaded_per_day_in_the_filter_colony">'05 Mass rearing Facility'!#REF!</definedName>
    <definedName name="Cage_units_to_be_loaded_per_day_to_produce_the_eggs_for_stockpiling" localSheetId="14">'05 Mass rearing Facility'!$C$18</definedName>
    <definedName name="Cage_units_to_be_loaded_per_day_to_produce_the_eggs_for_stockpiling" localSheetId="15">'05 Mass rearing Facility'!$C$18</definedName>
    <definedName name="Cage_units_to_be_loaded_per_day_to_produce_the_eggs_for_stockpiling">'05 Mass rearing Facility'!$C$18</definedName>
    <definedName name="Cage_units_to_be_loaded_per_day_to_produce_the_MO_eggs">'05 Mass rearing Facility'!$C$18</definedName>
    <definedName name="Component_4_percentage" localSheetId="14">'06 Diet formulation'!$C$9</definedName>
    <definedName name="Component_4_percentage" localSheetId="15">'06 Diet formulation'!$C$9</definedName>
    <definedName name="Component_4_percentage">'06 Diet formulation'!$C$9</definedName>
    <definedName name="Component_5_percentage" localSheetId="14">'06 Diet formulation'!$C$10</definedName>
    <definedName name="Component_5_percentage" localSheetId="15">'06 Diet formulation'!$C$10</definedName>
    <definedName name="Component_5_percentage">'06 Diet formulation'!$C$10</definedName>
    <definedName name="Component_6_percentage" localSheetId="14">'06 Diet formulation'!$C$11</definedName>
    <definedName name="Component_6_percentage" localSheetId="15">'06 Diet formulation'!$C$11</definedName>
    <definedName name="Component_6_percentage">'06 Diet formulation'!$C$11</definedName>
    <definedName name="Component4_required_daily_for_colony" localSheetId="12">'11 Water'!#REF!</definedName>
    <definedName name="Component4_required_daily_for_colony" localSheetId="14">'07 Diet requirements'!#REF!</definedName>
    <definedName name="Component4_required_daily_for_colony" localSheetId="15">'07 Diet requirements'!#REF!</definedName>
    <definedName name="Component4_required_daily_for_colony">'07 Diet requirements'!#REF!</definedName>
    <definedName name="Component4_required_daily_for_MO" localSheetId="12">'11 Water'!#REF!</definedName>
    <definedName name="Component4_required_daily_for_MO" localSheetId="14">'07 Diet requirements'!#REF!</definedName>
    <definedName name="Component4_required_daily_for_MO" localSheetId="15">'07 Diet requirements'!#REF!</definedName>
    <definedName name="Component4_required_daily_for_MO">'07 Diet requirements'!#REF!</definedName>
    <definedName name="Component5_required_daily_for_colony" localSheetId="12">'11 Water'!#REF!</definedName>
    <definedName name="Component5_required_daily_for_colony" localSheetId="14">'07 Diet requirements'!#REF!</definedName>
    <definedName name="Component5_required_daily_for_colony" localSheetId="15">'07 Diet requirements'!#REF!</definedName>
    <definedName name="Component5_required_daily_for_colony">'07 Diet requirements'!#REF!</definedName>
    <definedName name="Component5_required_daily_for_MO" localSheetId="12">'11 Water'!#REF!</definedName>
    <definedName name="Component5_required_daily_for_MO" localSheetId="14">'07 Diet requirements'!#REF!</definedName>
    <definedName name="Component5_required_daily_for_MO" localSheetId="15">'07 Diet requirements'!#REF!</definedName>
    <definedName name="Component5_required_daily_for_MO">'07 Diet requirements'!#REF!</definedName>
    <definedName name="Component6_required_daily_for_colony" localSheetId="12">'11 Water'!#REF!</definedName>
    <definedName name="Component6_required_daily_for_colony" localSheetId="14">'07 Diet requirements'!#REF!</definedName>
    <definedName name="Component6_required_daily_for_colony" localSheetId="15">'07 Diet requirements'!#REF!</definedName>
    <definedName name="Component6_required_daily_for_colony">'07 Diet requirements'!#REF!</definedName>
    <definedName name="Component6_required_daily_for_MO" localSheetId="12">'11 Water'!#REF!</definedName>
    <definedName name="Component6_required_daily_for_MO" localSheetId="14">'07 Diet requirements'!#REF!</definedName>
    <definedName name="Component6_required_daily_for_MO" localSheetId="15">'07 Diet requirements'!#REF!</definedName>
    <definedName name="Component6_required_daily_for_MO">'07 Diet requirements'!#REF!</definedName>
    <definedName name="construction_cost_of_mass_rearing_facility" localSheetId="14">'13 Const. cost'!$E$9</definedName>
    <definedName name="construction_cost_of_mass_rearing_facility" localSheetId="15">'13 Const. cost'!$E$9</definedName>
    <definedName name="construction_cost_of_mass_rearing_facility">#REF!</definedName>
    <definedName name="construction_cost_of_release_facility" localSheetId="14">'13 Const. cost'!$E$18</definedName>
    <definedName name="construction_cost_of_release_facility" localSheetId="15">'13 Const. cost'!$E$17</definedName>
    <definedName name="construction_cost_of_release_facility">#REF!</definedName>
    <definedName name="density_of_larvae_in_colony_trays" localSheetId="14">'03 Pro Par'!#REF!</definedName>
    <definedName name="density_of_larvae_in_colony_trays" localSheetId="15">'03 Pro Par'!#REF!</definedName>
    <definedName name="density_of_larvae_in_colony_trays">'03 Pro Par'!$I$28</definedName>
    <definedName name="density_of_larvae_in_MO_trays" localSheetId="12">'03 Pro Par'!#REF!</definedName>
    <definedName name="density_of_larvae_in_MO_trays" localSheetId="14">'03 Pro Par'!#REF!</definedName>
    <definedName name="density_of_larvae_in_MO_trays" localSheetId="15">'03 Pro Par'!#REF!</definedName>
    <definedName name="density_of_larvae_in_MO_trays">'03 Pro Par'!#REF!</definedName>
    <definedName name="depth_o_MO_larval_tray" localSheetId="12">'03 Pro Par'!#REF!</definedName>
    <definedName name="depth_o_MO_larval_tray" localSheetId="14">'03 Pro Par'!#REF!</definedName>
    <definedName name="depth_o_MO_larval_tray" localSheetId="15">'03 Pro Par'!#REF!</definedName>
    <definedName name="depth_o_MO_larval_tray">'03 Pro Par'!#REF!</definedName>
    <definedName name="depth_of_colony_larval_tray" localSheetId="14">'03 Pro Par'!#REF!</definedName>
    <definedName name="depth_of_colony_larval_tray" localSheetId="15">'03 Pro Par'!#REF!</definedName>
    <definedName name="depth_of_colony_larval_tray">'03 Pro Par'!$F$29</definedName>
    <definedName name="duration_of_gonotrophic_cycle">'03 Pro Par'!$I$18</definedName>
    <definedName name="Duration_of_larval_trays__Colony___larval_cycle___pupae_collection_time" localSheetId="12">'03 Pro Par'!#REF!</definedName>
    <definedName name="Duration_of_larval_trays__Colony___larval_cycle___pupae_collection_time" localSheetId="14">'03 Pro Par'!#REF!</definedName>
    <definedName name="Duration_of_larval_trays__Colony___larval_cycle___pupae_collection_time" localSheetId="15">'03 Pro Par'!#REF!</definedName>
    <definedName name="Duration_of_larval_trays__Colony___larval_cycle___pupae_collection_time">'03 Pro Par'!#REF!</definedName>
    <definedName name="Duration_of_males_holding_before_release" localSheetId="14">'03 Pro Par'!$I$26</definedName>
    <definedName name="Duration_of_males_holding_before_release" localSheetId="15">'03 Pro Par'!$I$26</definedName>
    <definedName name="Duration_of_males_holding_before_release">'03 Pro Par'!$I$22</definedName>
    <definedName name="Duration_of_the_larval_cycle__Colony" localSheetId="14">'03 Pro Par'!$I$27</definedName>
    <definedName name="Duration_of_the_larval_cycle__Colony" localSheetId="15">'03 Pro Par'!$I$27</definedName>
    <definedName name="Duration_of_the_larval_cycle__Colony">'03 Pro Par'!$I$23</definedName>
    <definedName name="Duration_of_the_larval_cycle__Male_Only" localSheetId="12">'03 Pro Par'!#REF!</definedName>
    <definedName name="Duration_of_the_larval_cycle__Male_Only" localSheetId="14">'03 Pro Par'!#REF!</definedName>
    <definedName name="Duration_of_the_larval_cycle__Male_Only" localSheetId="15">'03 Pro Par'!#REF!</definedName>
    <definedName name="Duration_of_the_larval_cycle__Male_Only">'03 Pro Par'!#REF!</definedName>
    <definedName name="Egg_hatching_rate" localSheetId="14">'03 Pro Par'!$I$8</definedName>
    <definedName name="Egg_hatching_rate" localSheetId="15">'03 Pro Par'!$I$8</definedName>
    <definedName name="Egg_hatching_rate">'03 Pro Par'!$I$5</definedName>
    <definedName name="Eggs_density" localSheetId="12">'03 Pro Par'!#REF!</definedName>
    <definedName name="Eggs_density" localSheetId="14">'03 Pro Par'!#REF!</definedName>
    <definedName name="Eggs_density" localSheetId="15">'03 Pro Par'!#REF!</definedName>
    <definedName name="Eggs_density">'03 Pro Par'!#REF!</definedName>
    <definedName name="eggs_to_be_hatched_per_day_for_male_only_production" localSheetId="14">'05 Mass rearing Facility'!$C$8</definedName>
    <definedName name="eggs_to_be_hatched_per_day_for_male_only_production" localSheetId="15">'05 Mass rearing Facility'!$C$8</definedName>
    <definedName name="eggs_to_be_hatched_per_day_for_male_only_production">'05 Mass rearing Facility'!$C$8</definedName>
    <definedName name="eggs_to_be_hatched_per_week_for_male_only_production" localSheetId="14">'05 Mass rearing Facility'!$C$7</definedName>
    <definedName name="eggs_to_be_hatched_per_week_for_male_only_production" localSheetId="15">'05 Mass rearing Facility'!$C$7</definedName>
    <definedName name="eggs_to_be_hatched_per_week_for_male_only_production">'05 Mass rearing Facility'!$C$7</definedName>
    <definedName name="Eggs_to_be_produced_per_day_for_colony_replacement" localSheetId="12">'05 Mass rearing Facility'!#REF!</definedName>
    <definedName name="Eggs_to_be_produced_per_day_for_colony_replacement" localSheetId="14">'05 Mass rearing Facility'!#REF!</definedName>
    <definedName name="Eggs_to_be_produced_per_day_for_colony_replacement" localSheetId="15">'05 Mass rearing Facility'!#REF!</definedName>
    <definedName name="Eggs_to_be_produced_per_day_for_colony_replacement">'05 Mass rearing Facility'!#REF!</definedName>
    <definedName name="Expected_number_of_male_pupae_to_be_produced_per_day">'05 Mass rearing Facility'!$C$5</definedName>
    <definedName name="Expected_number_of_male_pupae_to_be_produced_per_week" localSheetId="14">'05 Mass rearing Facility'!$C$4</definedName>
    <definedName name="Expected_number_of_male_pupae_to_be_produced_per_week" localSheetId="15">'05 Mass rearing Facility'!$C$4</definedName>
    <definedName name="Expected_number_of_male_pupae_to_be_produced_per_week">'05 Mass rearing Facility'!$C$4</definedName>
    <definedName name="female_pupae_load_for_filter_cage" localSheetId="12">'03 Pro Par'!#REF!</definedName>
    <definedName name="female_pupae_load_for_filter_cage" localSheetId="14">'03 Pro Par'!#REF!</definedName>
    <definedName name="female_pupae_load_for_filter_cage" localSheetId="15">'03 Pro Par'!#REF!</definedName>
    <definedName name="female_pupae_load_for_filter_cage">'03 Pro Par'!#REF!</definedName>
    <definedName name="female_pupae_load_per_colony_cage">'03 Pro Par'!$I$43</definedName>
    <definedName name="female_pupae_load_per_egging_cage">'03 Pro Par'!$I$43</definedName>
    <definedName name="female_pupae_load_per_egging_cage_for_colony_eggs" localSheetId="12">'03 Pro Par'!#REF!</definedName>
    <definedName name="female_pupae_load_per_egging_cage_for_colony_eggs" localSheetId="14">'03 Pro Par'!#REF!</definedName>
    <definedName name="female_pupae_load_per_egging_cage_for_colony_eggs" localSheetId="15">'03 Pro Par'!#REF!</definedName>
    <definedName name="female_pupae_load_per_egging_cage_for_colony_eggs">'03 Pro Par'!#REF!</definedName>
    <definedName name="female_pupae_load_per_egging_cage_for_coony_eggs" localSheetId="12">'03 Pro Par'!#REF!</definedName>
    <definedName name="female_pupae_load_per_egging_cage_for_coony_eggs" localSheetId="14">'03 Pro Par'!#REF!</definedName>
    <definedName name="female_pupae_load_per_egging_cage_for_coony_eggs" localSheetId="15">'03 Pro Par'!#REF!</definedName>
    <definedName name="female_pupae_load_per_egging_cage_for_coony_eggs">'03 Pro Par'!#REF!</definedName>
    <definedName name="female_pupae_load_per_egging_cage_for_MO_eggs" localSheetId="14">'03 Pro Par'!#REF!</definedName>
    <definedName name="female_pupae_load_per_egging_cage_for_MO_eggs" localSheetId="15">'03 Pro Par'!#REF!</definedName>
    <definedName name="female_pupae_load_per_egging_cage_for_MO_eggs">'03 Pro Par'!$I$43</definedName>
    <definedName name="female_pupae_load_per_filter_cage" localSheetId="12">'03 Pro Par'!#REF!</definedName>
    <definedName name="female_pupae_load_per_filter_cage" localSheetId="14">'03 Pro Par'!#REF!</definedName>
    <definedName name="female_pupae_load_per_filter_cage" localSheetId="15">'03 Pro Par'!#REF!</definedName>
    <definedName name="female_pupae_load_per_filter_cage">'03 Pro Par'!#REF!</definedName>
    <definedName name="female_pupae_load_per_filtercage" localSheetId="12">'03 Pro Par'!#REF!</definedName>
    <definedName name="female_pupae_load_per_filtercage" localSheetId="14">'03 Pro Par'!#REF!</definedName>
    <definedName name="female_pupae_load_per_filtercage" localSheetId="15">'03 Pro Par'!#REF!</definedName>
    <definedName name="female_pupae_load_per_filtercage">'03 Pro Par'!#REF!</definedName>
    <definedName name="female_pupae_recovery_after_first_sorting" localSheetId="14">'03 Pro Par'!$F$19</definedName>
    <definedName name="female_pupae_recovery_after_first_sorting" localSheetId="15">'03 Pro Par'!$F$19</definedName>
    <definedName name="female_pupae_recovery_after_first_sorting">'03 Pro Par'!$F$9</definedName>
    <definedName name="female_pupae_recovery_after_second_sorting" localSheetId="14">'03 Pro Par'!$G$19</definedName>
    <definedName name="female_pupae_recovery_after_second_sorting" localSheetId="15">'03 Pro Par'!$G$19</definedName>
    <definedName name="female_pupae_recovery_after_second_sorting">'03 Pro Par'!$G$9</definedName>
    <definedName name="female_pupae_recovery_after_third_sorting" localSheetId="14">'03 Pro Par'!$H$19</definedName>
    <definedName name="female_pupae_recovery_after_third_sorting" localSheetId="15">'03 Pro Par'!$H$19</definedName>
    <definedName name="female_pupae_recovery_after_third_sorting">'03 Pro Par'!$H$9</definedName>
    <definedName name="females_in_colony_cages" localSheetId="14">'03 Pro Par'!$I$43</definedName>
    <definedName name="females_in_colony_cages" localSheetId="15">'03 Pro Par'!$I$43</definedName>
    <definedName name="females_in_colony_cages">'03 Pro Par'!$I$42</definedName>
    <definedName name="females_per_male" localSheetId="14">'03 Pro Par'!$I$5</definedName>
    <definedName name="females_per_male" localSheetId="15">'03 Pro Par'!$I$5</definedName>
    <definedName name="females_per_male">'03 Pro Par'!$I$41</definedName>
    <definedName name="free_space_between_trays" localSheetId="14">'03 Pro Par'!#REF!</definedName>
    <definedName name="free_space_between_trays" localSheetId="15">'03 Pro Par'!#REF!</definedName>
    <definedName name="free_space_between_trays">'03 Pro Par'!$I$33</definedName>
    <definedName name="frequency_of_blood_feeding" localSheetId="14">'03 Pro Par'!$I$29</definedName>
    <definedName name="frequency_of_blood_feeding" localSheetId="15">'03 Pro Par'!$I$29</definedName>
    <definedName name="frequency_of_blood_feeding">'03 Pro Par'!$I$46</definedName>
    <definedName name="frequency_of_egg_collection" localSheetId="14">'03 Pro Par'!$I$30</definedName>
    <definedName name="frequency_of_egg_collection" localSheetId="15">'03 Pro Par'!$I$30</definedName>
    <definedName name="frequency_of_egg_collection">'03 Pro Par'!$I$47</definedName>
    <definedName name="hatching">'03 Pro Par'!$I$5</definedName>
    <definedName name="Hatching_rate">'03 Pro Par'!$I$5</definedName>
    <definedName name="height_of_tray_columns" localSheetId="14">'03 Pro Par'!#REF!</definedName>
    <definedName name="height_of_tray_columns" localSheetId="15">'03 Pro Par'!#REF!</definedName>
    <definedName name="height_of_tray_columns">'03 Pro Par'!$I$32</definedName>
    <definedName name="investment_needed_for_equipment" localSheetId="14">'15 Equipment-budget'!$F$33</definedName>
    <definedName name="investment_needed_for_equipment" localSheetId="15">'15 Equipment-budget'!$F$33</definedName>
    <definedName name="investment_needed_for_equipment">'15 Equipment-budget'!$F$34</definedName>
    <definedName name="L1_per_colony_tray" localSheetId="14">'03 Pro Par'!#REF!</definedName>
    <definedName name="L1_per_colony_tray" localSheetId="15">'03 Pro Par'!#REF!</definedName>
    <definedName name="L1_per_colony_tray">'03 Pro Par'!$I$30</definedName>
    <definedName name="L1_per_MO_larval_tray" localSheetId="12">'03 Pro Par'!#REF!</definedName>
    <definedName name="L1_per_MO_larval_tray" localSheetId="14">'03 Pro Par'!#REF!</definedName>
    <definedName name="L1_per_MO_larval_tray" localSheetId="15">'03 Pro Par'!#REF!</definedName>
    <definedName name="L1_per_MO_larval_tray">'03 Pro Par'!#REF!</definedName>
    <definedName name="L1_per_MO_tray" localSheetId="12">'03 Pro Par'!#REF!</definedName>
    <definedName name="L1_per_MO_tray" localSheetId="14">'03 Pro Par'!#REF!</definedName>
    <definedName name="L1_per_MO_tray" localSheetId="15">'03 Pro Par'!#REF!</definedName>
    <definedName name="L1_per_MO_tray">'03 Pro Par'!#REF!</definedName>
    <definedName name="L1_seeded_per_MO_tray" localSheetId="12">'03 Pro Par'!#REF!</definedName>
    <definedName name="L1_seeded_per_MO_tray" localSheetId="14">'03 Pro Par'!#REF!</definedName>
    <definedName name="L1_seeded_per_MO_tray" localSheetId="15">'03 Pro Par'!#REF!</definedName>
    <definedName name="L1_seeded_per_MO_tray">'03 Pro Par'!#REF!</definedName>
    <definedName name="larval_diet_mixer_capacity" localSheetId="14">'03 Pro Par'!$I$47</definedName>
    <definedName name="larval_diet_mixer_capacity" localSheetId="15">'03 Pro Par'!$I$47</definedName>
    <definedName name="larval_diet_mixer_capacity">'03 Pro Par'!#REF!</definedName>
    <definedName name="lifespan_of_emergence_facility" localSheetId="14">'13 Const. cost'!$E$19</definedName>
    <definedName name="lifespan_of_emergence_facility">#REF!</definedName>
    <definedName name="lifespan_of_mass_rearing_facility" localSheetId="14">'13 Const. cost'!$E$10</definedName>
    <definedName name="lifespan_of_mass_rearing_facility">#REF!</definedName>
    <definedName name="male_pupae_recovery_after_first_sorting" localSheetId="14">'03 Pro Par'!$F$18</definedName>
    <definedName name="male_pupae_recovery_after_first_sorting" localSheetId="15">'03 Pro Par'!$F$18</definedName>
    <definedName name="male_pupae_recovery_after_first_sorting">'03 Pro Par'!$F$8</definedName>
    <definedName name="male_pupae_recovery_after_second_sorting" localSheetId="14">'03 Pro Par'!$G$18</definedName>
    <definedName name="male_pupae_recovery_after_second_sorting" localSheetId="15">'03 Pro Par'!$G$18</definedName>
    <definedName name="male_pupae_recovery_after_second_sorting">'03 Pro Par'!$G$8</definedName>
    <definedName name="male_pupae_recovery_after_third_sorting" localSheetId="14">'03 Pro Par'!$H$18</definedName>
    <definedName name="male_pupae_recovery_after_third_sorting" localSheetId="15">'03 Pro Par'!$H$18</definedName>
    <definedName name="male_pupae_recovery_after_third_sorting">'03 Pro Par'!$H$8</definedName>
    <definedName name="Males_per_MO_cage" localSheetId="14">'03 Pro Par'!$I$38</definedName>
    <definedName name="Males_per_MO_cage" localSheetId="15">'03 Pro Par'!$I$38</definedName>
    <definedName name="Males_per_MO_cage">'03 Pro Par'!$I$36</definedName>
    <definedName name="MO_cages_loaded_per_day" localSheetId="14">'04 Release Facility'!$C$6</definedName>
    <definedName name="MO_cages_loaded_per_day" localSheetId="15">'04 Release Facility'!$C$6</definedName>
    <definedName name="MO_cages_loaded_per_day">'04 Release Facility'!$C$6</definedName>
    <definedName name="Number_of_female_pupae_per_filter_cage" localSheetId="12">'03 Pro Par'!#REF!</definedName>
    <definedName name="Number_of_female_pupae_per_filter_cage" localSheetId="14">'03 Pro Par'!#REF!</definedName>
    <definedName name="Number_of_female_pupae_per_filter_cage" localSheetId="15">'03 Pro Par'!#REF!</definedName>
    <definedName name="Number_of_female_pupae_per_filter_cage">'03 Pro Par'!#REF!</definedName>
    <definedName name="number_of_gonotrophic_cycles_colonies" localSheetId="14">'03 Pro Par'!$I$23</definedName>
    <definedName name="number_of_gonotrophic_cycles_colonies" localSheetId="15">'03 Pro Par'!$I$23</definedName>
    <definedName name="number_of_gonotrophic_cycles_colonies">'03 Pro Par'!$I$19</definedName>
    <definedName name="number_of_gonotrophic_cycles_in_colony">'03 Pro Par'!$I$19</definedName>
    <definedName name="number_of_gonotrophic_cycles_in_filter" localSheetId="12">'03 Pro Par'!#REF!</definedName>
    <definedName name="number_of_gonotrophic_cycles_in_filter" localSheetId="14">'03 Pro Par'!#REF!</definedName>
    <definedName name="number_of_gonotrophic_cycles_in_filter" localSheetId="15">'03 Pro Par'!#REF!</definedName>
    <definedName name="number_of_gonotrophic_cycles_in_filter">'03 Pro Par'!#REF!</definedName>
    <definedName name="Number_of_irradiation_operations_per_day" localSheetId="12">'05 Mass rearing Facility'!#REF!</definedName>
    <definedName name="Number_of_irradiation_operations_per_day" localSheetId="14">'05 Mass rearing Facility'!#REF!</definedName>
    <definedName name="Number_of_irradiation_operations_per_day" localSheetId="15">'05 Mass rearing Facility'!#REF!</definedName>
    <definedName name="Number_of_irradiation_operations_per_day">'05 Mass rearing Facility'!#REF!</definedName>
    <definedName name="Number_of_larval_trays_per_rack__Colony" localSheetId="14">'03 Pro Par'!#REF!</definedName>
    <definedName name="Number_of_larval_trays_per_rack__Colony" localSheetId="15">'03 Pro Par'!#REF!</definedName>
    <definedName name="Number_of_larval_trays_per_rack__Colony">'03 Pro Par'!$I$31</definedName>
    <definedName name="Number_of_larval_trays_to_be_loaded_with_eggs_per_day_for_colony_replacement" localSheetId="12">'05 Mass rearing Facility'!#REF!</definedName>
    <definedName name="Number_of_larval_trays_to_be_loaded_with_eggs_per_day_for_colony_replacement" localSheetId="14">'05 Mass rearing Facility'!#REF!</definedName>
    <definedName name="Number_of_larval_trays_to_be_loaded_with_eggs_per_day_for_colony_replacement" localSheetId="15">'05 Mass rearing Facility'!#REF!</definedName>
    <definedName name="Number_of_larval_trays_to_be_loaded_with_eggs_per_day_for_colony_replacement">'05 Mass rearing Facility'!#REF!</definedName>
    <definedName name="Number_of_larval_trays_to_be_loaded_with_larvae_per_day_after_first_pupal_recovery" localSheetId="12">'05 Mass rearing Facility'!#REF!</definedName>
    <definedName name="Number_of_larval_trays_to_be_loaded_with_larvae_per_day_after_first_pupal_recovery" localSheetId="14">'05 Mass rearing Facility'!#REF!</definedName>
    <definedName name="Number_of_larval_trays_to_be_loaded_with_larvae_per_day_after_first_pupal_recovery" localSheetId="15">'05 Mass rearing Facility'!#REF!</definedName>
    <definedName name="Number_of_larval_trays_to_be_loaded_with_larvae_per_day_after_first_pupal_recovery">'05 Mass rearing Facility'!#REF!</definedName>
    <definedName name="Number_of_larval_trays_to_be_loaded_with_larvae_per_day_after_second_pupal_recovery" localSheetId="12">'05 Mass rearing Facility'!#REF!</definedName>
    <definedName name="Number_of_larval_trays_to_be_loaded_with_larvae_per_day_after_second_pupal_recovery" localSheetId="14">'05 Mass rearing Facility'!#REF!</definedName>
    <definedName name="Number_of_larval_trays_to_be_loaded_with_larvae_per_day_after_second_pupal_recovery" localSheetId="15">'05 Mass rearing Facility'!#REF!</definedName>
    <definedName name="Number_of_larval_trays_to_be_loaded_with_larvae_per_day_after_second_pupal_recovery">'05 Mass rearing Facility'!#REF!</definedName>
    <definedName name="Number_of_larval_trays_to_be_loaded_with_larvae_per_day_after_the_first_pupal_recovery_for_colony_replacement" localSheetId="12">'05 Mass rearing Facility'!#REF!</definedName>
    <definedName name="Number_of_larval_trays_to_be_loaded_with_larvae_per_day_after_the_first_pupal_recovery_for_colony_replacement" localSheetId="14">'05 Mass rearing Facility'!#REF!</definedName>
    <definedName name="Number_of_larval_trays_to_be_loaded_with_larvae_per_day_after_the_first_pupal_recovery_for_colony_replacement" localSheetId="15">'05 Mass rearing Facility'!#REF!</definedName>
    <definedName name="Number_of_larval_trays_to_be_loaded_with_larvae_per_day_after_the_first_pupal_recovery_for_colony_replacement">'05 Mass rearing Facility'!#REF!</definedName>
    <definedName name="Number_of_larval_trays_to_be_loaded_with_larvae_per_day_after_the_second_pupal_recovery_for_colony_replacement" localSheetId="12">'05 Mass rearing Facility'!#REF!</definedName>
    <definedName name="Number_of_larval_trays_to_be_loaded_with_larvae_per_day_after_the_second_pupal_recovery_for_colony_replacement" localSheetId="14">'05 Mass rearing Facility'!#REF!</definedName>
    <definedName name="Number_of_larval_trays_to_be_loaded_with_larvae_per_day_after_the_second_pupal_recovery_for_colony_replacement" localSheetId="15">'05 Mass rearing Facility'!#REF!</definedName>
    <definedName name="Number_of_larval_trays_to_be_loaded_with_larvae_per_day_after_the_second_pupal_recovery_for_colony_replacement">'05 Mass rearing Facility'!#REF!</definedName>
    <definedName name="Number_of_MO_larval_trays_to_be_loaded_with_L1_per_day" localSheetId="14">'05 Mass rearing Facility'!$C$9</definedName>
    <definedName name="Number_of_MO_larval_trays_to_be_loaded_with_L1_per_day" localSheetId="15">'05 Mass rearing Facility'!$C$9</definedName>
    <definedName name="Number_of_MO_larval_trays_to_be_loaded_with_L1_per_day">'05 Mass rearing Facility'!$C$9</definedName>
    <definedName name="number_of_MO_racks_to_hold_the_trays_loaded_with_larvae_after_first_sorting_everyday" localSheetId="12">'05 Mass rearing Facility'!#REF!</definedName>
    <definedName name="number_of_MO_racks_to_hold_the_trays_loaded_with_larvae_after_first_sorting_everyday" localSheetId="14">'05 Mass rearing Facility'!#REF!</definedName>
    <definedName name="number_of_MO_racks_to_hold_the_trays_loaded_with_larvae_after_first_sorting_everyday" localSheetId="15">'05 Mass rearing Facility'!#REF!</definedName>
    <definedName name="number_of_MO_racks_to_hold_the_trays_loaded_with_larvae_after_first_sorting_everyday">'05 Mass rearing Facility'!#REF!</definedName>
    <definedName name="number_of_MO_racks_to_hold_the_trays_loaded_with_larvae_after_second_sorting_everyday" localSheetId="12">'05 Mass rearing Facility'!#REF!</definedName>
    <definedName name="number_of_MO_racks_to_hold_the_trays_loaded_with_larvae_after_second_sorting_everyday" localSheetId="14">'05 Mass rearing Facility'!#REF!</definedName>
    <definedName name="number_of_MO_racks_to_hold_the_trays_loaded_with_larvae_after_second_sorting_everyday" localSheetId="15">'05 Mass rearing Facility'!#REF!</definedName>
    <definedName name="number_of_MO_racks_to_hold_the_trays_loaded_with_larvae_after_second_sorting_everyday">'05 Mass rearing Facility'!#REF!</definedName>
    <definedName name="number_of_MO_racks_to_hold_the_trays_seeded_with_eggs_everyday" localSheetId="14">'05 Mass rearing Facility'!$D$9</definedName>
    <definedName name="number_of_MO_racks_to_hold_the_trays_seeded_with_eggs_everyday" localSheetId="15">'05 Mass rearing Facility'!$D$9</definedName>
    <definedName name="number_of_MO_racks_to_hold_the_trays_seeded_with_eggs_everyday">'05 Mass rearing Facility'!$D$9</definedName>
    <definedName name="number_of_MO_racks_to_hold_the_trays_seeded_with_eggs_needed_everyday">'05 Mass rearing Facility'!$D$9</definedName>
    <definedName name="Number_of_ovipositing_females_to_be_replaced_everyday" localSheetId="14">'05 Mass rearing Facility'!$C$16</definedName>
    <definedName name="Number_of_ovipositing_females_to_be_replaced_everyday" localSheetId="15">'05 Mass rearing Facility'!$C$16</definedName>
    <definedName name="Number_of_ovipositing_females_to_be_replaced_everyday">'05 Mass rearing Facility'!$C$16</definedName>
    <definedName name="Number_of_ovipositing_females_to_be_replaced_everyday_for_MO_egg_production">'05 Mass rearing Facility'!$C$16</definedName>
    <definedName name="Number_of_ovipositing_females_to_be_replaced_everyday_in_the_filter_colony" localSheetId="12">'05 Mass rearing Facility'!#REF!</definedName>
    <definedName name="Number_of_ovipositing_females_to_be_replaced_everyday_in_the_filter_colony" localSheetId="14">'05 Mass rearing Facility'!#REF!</definedName>
    <definedName name="Number_of_ovipositing_females_to_be_replaced_everyday_in_the_filter_colony" localSheetId="15">'05 Mass rearing Facility'!#REF!</definedName>
    <definedName name="Number_of_ovipositing_females_to_be_replaced_everyday_in_the_filter_colony">'05 Mass rearing Facility'!#REF!</definedName>
    <definedName name="Number_of_pupae_needed_to_replace_the_colony_females_every_day" localSheetId="12">'05 Mass rearing Facility'!#REF!</definedName>
    <definedName name="Number_of_pupae_needed_to_replace_the_colony_females_every_day" localSheetId="14">'05 Mass rearing Facility'!#REF!</definedName>
    <definedName name="Number_of_pupae_needed_to_replace_the_colony_females_every_day" localSheetId="15">'05 Mass rearing Facility'!#REF!</definedName>
    <definedName name="Number_of_pupae_needed_to_replace_the_colony_females_every_day">'05 Mass rearing Facility'!#REF!</definedName>
    <definedName name="Number_of_pupae_per_irradiation_canister">'09 Rearing Equip.'!$C$27</definedName>
    <definedName name="Number_of_pupal_larval_sorting_operations_per_colony_tray" localSheetId="12">'05 Mass rearing Facility'!#REF!</definedName>
    <definedName name="Number_of_pupal_larval_sorting_operations_per_colony_tray" localSheetId="14">'05 Mass rearing Facility'!#REF!</definedName>
    <definedName name="Number_of_pupal_larval_sorting_operations_per_colony_tray" localSheetId="15">'05 Mass rearing Facility'!#REF!</definedName>
    <definedName name="Number_of_pupal_larval_sorting_operations_per_colony_tray">'05 Mass rearing Facility'!#REF!</definedName>
    <definedName name="Number_of_pupal_larval_sorting_operations_per_MO_tray" localSheetId="12">'05 Mass rearing Facility'!#REF!</definedName>
    <definedName name="Number_of_pupal_larval_sorting_operations_per_MO_tray" localSheetId="14">'05 Mass rearing Facility'!#REF!</definedName>
    <definedName name="Number_of_pupal_larval_sorting_operations_per_MO_tray" localSheetId="15">'05 Mass rearing Facility'!#REF!</definedName>
    <definedName name="Number_of_pupal_larval_sorting_operations_per_MO_tray">'05 Mass rearing Facility'!#REF!</definedName>
    <definedName name="Number_of_pupal_larval_sorting_operations_per_tray_MO" localSheetId="12">'05 Mass rearing Facility'!#REF!</definedName>
    <definedName name="Number_of_pupal_larval_sorting_operations_per_tray_MO" localSheetId="14">'05 Mass rearing Facility'!#REF!</definedName>
    <definedName name="Number_of_pupal_larval_sorting_operations_per_tray_MO" localSheetId="15">'05 Mass rearing Facility'!#REF!</definedName>
    <definedName name="Number_of_pupal_larval_sorting_operations_per_tray_MO">'05 Mass rearing Facility'!#REF!</definedName>
    <definedName name="number_of_racks_to_hold_the_MO_trays_seeded_with_eggs_everyday">'05 Mass rearing Facility'!$D$9</definedName>
    <definedName name="Number_of_weeks_with_releases_per_year" localSheetId="14">'01 Start up &amp; Summary'!$D$5</definedName>
    <definedName name="Number_of_weeks_with_releases_per_year" localSheetId="15">'01 Start up &amp; Summary'!$D$5</definedName>
    <definedName name="Number_of_weeks_with_releases_per_year">'01 Start up &amp; Summary'!$D$5</definedName>
    <definedName name="Overall_male_sexing_efficiency" localSheetId="14">'03 Pro Par'!#REF!</definedName>
    <definedName name="Overall_male_sexing_efficiency" localSheetId="15">'03 Pro Par'!#REF!</definedName>
    <definedName name="Overall_male_sexing_efficiency">'03 Pro Par'!#REF!</definedName>
    <definedName name="Oversize_factor_cages" localSheetId="14">'09 Rearing Equip.'!$C$16</definedName>
    <definedName name="Oversize_factor_cages" localSheetId="15">'09 Rearing Equip.'!$C$16</definedName>
    <definedName name="Oversize_factor_cages">'09 Rearing Equip.'!$C$16</definedName>
    <definedName name="Oversize_factor_larval_trays" localSheetId="14">'09 Rearing Equip.'!$C$6</definedName>
    <definedName name="Oversize_factor_larval_trays" localSheetId="15">'09 Rearing Equip.'!$C$6</definedName>
    <definedName name="Oversize_factor_larval_trays">'09 Rearing Equip.'!$C$6</definedName>
    <definedName name="Oversize_factor_racks" localSheetId="14">'09 Rearing Equip.'!$C$11</definedName>
    <definedName name="Oversize_factor_racks" localSheetId="15">'09 Rearing Equip.'!$C$11</definedName>
    <definedName name="Oversize_factor_racks">'09 Rearing Equip.'!$C$11</definedName>
    <definedName name="Ovipositing_females_permanently_in_the_colony" localSheetId="14">'05 Mass rearing Facility'!$C$14</definedName>
    <definedName name="Ovipositing_females_permanently_in_the_colony" localSheetId="15">'05 Mass rearing Facility'!$C$14</definedName>
    <definedName name="Ovipositing_females_permanently_in_the_colony">'05 Mass rearing Facility'!$C$14</definedName>
    <definedName name="Ovipositing_females_permanently_in_the_colony_for_colony_replacement_egg_production" localSheetId="12">'05 Mass rearing Facility'!#REF!</definedName>
    <definedName name="Ovipositing_females_permanently_in_the_colony_for_colony_replacement_egg_production" localSheetId="14">'05 Mass rearing Facility'!#REF!</definedName>
    <definedName name="Ovipositing_females_permanently_in_the_colony_for_colony_replacement_egg_production" localSheetId="15">'05 Mass rearing Facility'!#REF!</definedName>
    <definedName name="Ovipositing_females_permanently_in_the_colony_for_colony_replacement_egg_production">'05 Mass rearing Facility'!#REF!</definedName>
    <definedName name="Oviposition_cages_permanently_in_use_for_MO_egg_production" localSheetId="14">'05 Mass rearing Facility'!$C$22</definedName>
    <definedName name="Oviposition_cages_permanently_in_use_for_MO_egg_production" localSheetId="15">'05 Mass rearing Facility'!$C$22</definedName>
    <definedName name="Oviposition_cages_permanently_in_use_for_MO_egg_production">'05 Mass rearing Facility'!$C$22</definedName>
    <definedName name="Oviposition_cages_permanently_in_usein_the_filter" localSheetId="12">'05 Mass rearing Facility'!#REF!</definedName>
    <definedName name="Oviposition_cages_permanently_in_usein_the_filter" localSheetId="14">'05 Mass rearing Facility'!#REF!</definedName>
    <definedName name="Oviposition_cages_permanently_in_usein_the_filter" localSheetId="15">'05 Mass rearing Facility'!#REF!</definedName>
    <definedName name="Oviposition_cages_permanently_in_usein_the_filter">'05 Mass rearing Facility'!#REF!</definedName>
    <definedName name="Oviposition_period" localSheetId="14">'03 Pro Par'!$I$24</definedName>
    <definedName name="Oviposition_period" localSheetId="15">'03 Pro Par'!$I$24</definedName>
    <definedName name="Oviposition_period">'03 Pro Par'!$I$20</definedName>
    <definedName name="oviposition_period_in_the_filter" localSheetId="12">'03 Pro Par'!#REF!</definedName>
    <definedName name="oviposition_period_in_the_filter" localSheetId="14">'03 Pro Par'!#REF!</definedName>
    <definedName name="oviposition_period_in_the_filter" localSheetId="15">'03 Pro Par'!#REF!</definedName>
    <definedName name="oviposition_period_in_the_filter">'03 Pro Par'!#REF!</definedName>
    <definedName name="personnel_cost_per_year" localSheetId="14">#REF!</definedName>
    <definedName name="personnel_cost_per_year" localSheetId="15">#REF!</definedName>
    <definedName name="personnel_cost_per_year">#REF!</definedName>
    <definedName name="petri_per_irradiation_canister" localSheetId="14">'03 Pro Par'!$I$44</definedName>
    <definedName name="petri_per_irradiation_canister" localSheetId="15">'03 Pro Par'!$I$44</definedName>
    <definedName name="petri_per_irradiation_canister">'03 Pro Par'!#REF!</definedName>
    <definedName name="Pre_oviposition_cages_permanently_in_use_for_MO_egg_production" localSheetId="14">'05 Mass rearing Facility'!$C$21</definedName>
    <definedName name="Pre_oviposition_cages_permanently_in_use_for_MO_egg_production" localSheetId="15">'05 Mass rearing Facility'!$C$21</definedName>
    <definedName name="Pre_oviposition_cages_permanently_in_use_for_MO_egg_production">'05 Mass rearing Facility'!$C$21</definedName>
    <definedName name="Pre_oviposition_cages_permanently_in_use_in_the_filter" localSheetId="12">'05 Mass rearing Facility'!#REF!</definedName>
    <definedName name="Pre_oviposition_cages_permanently_in_use_in_the_filter" localSheetId="14">'05 Mass rearing Facility'!#REF!</definedName>
    <definedName name="Pre_oviposition_cages_permanently_in_use_in_the_filter" localSheetId="15">'05 Mass rearing Facility'!#REF!</definedName>
    <definedName name="Pre_oviposition_cages_permanently_in_use_in_the_filter">'05 Mass rearing Facility'!#REF!</definedName>
    <definedName name="Pre_oviposition_period" localSheetId="14">'03 Pro Par'!$I$21</definedName>
    <definedName name="Pre_oviposition_period" localSheetId="15">'03 Pro Par'!$I$21</definedName>
    <definedName name="Pre_oviposition_period">'03 Pro Par'!$I$17</definedName>
    <definedName name="Pupae_collection_time___Colony" localSheetId="12">'03 Pro Par'!#REF!</definedName>
    <definedName name="Pupae_collection_time___Colony" localSheetId="14">'03 Pro Par'!#REF!</definedName>
    <definedName name="Pupae_collection_time___Colony" localSheetId="15">'03 Pro Par'!#REF!</definedName>
    <definedName name="Pupae_collection_time___Colony">'03 Pro Par'!#REF!</definedName>
    <definedName name="Pupae_collection_time___Male_Only" localSheetId="12">'03 Pro Par'!#REF!</definedName>
    <definedName name="Pupae_collection_time___Male_Only" localSheetId="14">'03 Pro Par'!#REF!</definedName>
    <definedName name="Pupae_collection_time___Male_Only" localSheetId="15">'03 Pro Par'!#REF!</definedName>
    <definedName name="Pupae_collection_time___Male_Only">'03 Pro Par'!#REF!</definedName>
    <definedName name="Pupae_density" localSheetId="12">'03 Pro Par'!#REF!</definedName>
    <definedName name="Pupae_density" localSheetId="14">'03 Pro Par'!#REF!</definedName>
    <definedName name="Pupae_density" localSheetId="15">'03 Pro Par'!#REF!</definedName>
    <definedName name="Pupae_density">'03 Pro Par'!#REF!</definedName>
    <definedName name="pupae_irradiated_per_operation">'03 Pro Par'!#REF!</definedName>
    <definedName name="pupae_load_per_egging_cage_for_MO_eggs">'03 Pro Par'!$I$43</definedName>
    <definedName name="pupae_load_per_MO_cage" localSheetId="14">'03 Pro Par'!$I$39</definedName>
    <definedName name="pupae_load_per_MO_cage" localSheetId="15">'03 Pro Par'!$I$39</definedName>
    <definedName name="pupae_load_per_MO_cage">'03 Pro Par'!$I$37</definedName>
    <definedName name="pupae_obtained_from_each_MO_larval_tray" localSheetId="12">'03 Pro Par'!#REF!</definedName>
    <definedName name="pupae_obtained_from_each_MO_larval_tray" localSheetId="14">'03 Pro Par'!#REF!</definedName>
    <definedName name="pupae_obtained_from_each_MO_larval_tray" localSheetId="15">'03 Pro Par'!#REF!</definedName>
    <definedName name="pupae_obtained_from_each_MO_larval_tray">'03 Pro Par'!#REF!</definedName>
    <definedName name="Pupation_cycle" localSheetId="12">'03 Pro Par'!#REF!</definedName>
    <definedName name="Pupation_cycle" localSheetId="14">'03 Pro Par'!#REF!</definedName>
    <definedName name="Pupation_cycle" localSheetId="15">'03 Pro Par'!#REF!</definedName>
    <definedName name="Pupation_cycle">'03 Pro Par'!#REF!</definedName>
    <definedName name="Ration_per_one_larva_on_day_1" localSheetId="14">'06 Diet formulation'!$C$15</definedName>
    <definedName name="Ration_per_one_larva_on_day_1" localSheetId="15">'06 Diet formulation'!$C$15</definedName>
    <definedName name="Ration_per_one_larva_on_day_1">'06 Diet formulation'!$C$15</definedName>
    <definedName name="Ration_per_one_larva_on_day_2" localSheetId="14">'06 Diet formulation'!$C$16</definedName>
    <definedName name="Ration_per_one_larva_on_day_2" localSheetId="15">'06 Diet formulation'!$C$16</definedName>
    <definedName name="Ration_per_one_larva_on_day_2">'06 Diet formulation'!$C$16</definedName>
    <definedName name="Ration_per_one_larva_on_day_3" localSheetId="14">'06 Diet formulation'!$C$17</definedName>
    <definedName name="Ration_per_one_larva_on_day_3" localSheetId="15">'06 Diet formulation'!$C$17</definedName>
    <definedName name="Ration_per_one_larva_on_day_3">'06 Diet formulation'!$C$17</definedName>
    <definedName name="Ration_per_one_larva_on_day_4" localSheetId="14">'06 Diet formulation'!$C$18</definedName>
    <definedName name="Ration_per_one_larva_on_day_4" localSheetId="15">'06 Diet formulation'!$C$18</definedName>
    <definedName name="Ration_per_one_larva_on_day_4">'06 Diet formulation'!$C$18</definedName>
    <definedName name="Ration_per_one_larva_on_day_5" localSheetId="14">'06 Diet formulation'!$C$19</definedName>
    <definedName name="Ration_per_one_larva_on_day_5" localSheetId="15">'06 Diet formulation'!$C$19</definedName>
    <definedName name="Ration_per_one_larva_on_day_5">'06 Diet formulation'!$C$19</definedName>
    <definedName name="Ration_per_one_larva_on_day_6_and_after" localSheetId="14">'06 Diet formulation'!$C$20</definedName>
    <definedName name="Ration_per_one_larva_on_day_6_and_after" localSheetId="15">'06 Diet formulation'!$C$20</definedName>
    <definedName name="Ration_per_one_larva_on_day_6_and_after">'06 Diet formulation'!$C$20</definedName>
    <definedName name="Sex_ratio_in_filter_cage">'03 Pro Par'!#REF!</definedName>
    <definedName name="size_of_store_for_diet_ingredients" localSheetId="14">'08 Storage of diet ingr.'!$J$16</definedName>
    <definedName name="size_of_store_for_diet_ingredients" localSheetId="15">'08 Storage of diet ingr.'!$J$16</definedName>
    <definedName name="size_of_store_for_diet_ingredients">'08 Storage of diet ingr.'!$J$16</definedName>
    <definedName name="Sugar_needed_daily_for_colony_cages" localSheetId="12">#REF!</definedName>
    <definedName name="Sugar_needed_daily_for_colony_cages" localSheetId="14">#REF!</definedName>
    <definedName name="Sugar_needed_daily_for_colony_cages" localSheetId="15">#REF!</definedName>
    <definedName name="Sugar_needed_daily_for_colony_cages">#REF!</definedName>
    <definedName name="Sugar_needed_daily_for_MO_cages" localSheetId="12">#REF!</definedName>
    <definedName name="Sugar_needed_daily_for_MO_cages" localSheetId="14">#REF!</definedName>
    <definedName name="Sugar_needed_daily_for_MO_cages" localSheetId="15">#REF!</definedName>
    <definedName name="Sugar_needed_daily_for_MO_cages">#REF!</definedName>
    <definedName name="Sugar_needed_weekly_for_colony_cages" localSheetId="12">#REF!</definedName>
    <definedName name="Sugar_needed_weekly_for_colony_cages" localSheetId="14">#REF!</definedName>
    <definedName name="Sugar_needed_weekly_for_colony_cages" localSheetId="15">#REF!</definedName>
    <definedName name="Sugar_needed_weekly_for_colony_cages">#REF!</definedName>
    <definedName name="Sugar_needed_weekly_for_MO_cages" localSheetId="12">#REF!</definedName>
    <definedName name="Sugar_needed_weekly_for_MO_cages" localSheetId="14">#REF!</definedName>
    <definedName name="Sugar_needed_weekly_for_MO_cages" localSheetId="15">#REF!</definedName>
    <definedName name="Sugar_needed_weekly_for_MO_cages">#REF!</definedName>
    <definedName name="Sugar_percentage_in_adult_diet" localSheetId="14">'06 Diet formulation'!$C$32</definedName>
    <definedName name="Sugar_percentage_in_adult_diet" localSheetId="15">'06 Diet formulation'!$C$32</definedName>
    <definedName name="Sugar_percentage_in_adult_diet">'06 Diet formulation'!$C$32</definedName>
    <definedName name="Survival_eggs_to_pupae">'03 Pro Par'!$I$6</definedName>
    <definedName name="Survival_eggs_to_pupae_Colony" localSheetId="14">'03 Pro Par'!$I$9</definedName>
    <definedName name="Survival_eggs_to_pupae_Colony" localSheetId="15">'03 Pro Par'!$I$9</definedName>
    <definedName name="Survival_eggs_to_pupae_Colony">'03 Pro Par'!$I$6</definedName>
    <definedName name="Survival_eggs_to_pupae_Male_Only" localSheetId="12">'03 Pro Par'!#REF!</definedName>
    <definedName name="Survival_eggs_to_pupae_Male_Only" localSheetId="14">'03 Pro Par'!#REF!</definedName>
    <definedName name="Survival_eggs_to_pupae_Male_Only" localSheetId="15">'03 Pro Par'!#REF!</definedName>
    <definedName name="Survival_eggs_to_pupae_Male_Only">'03 Pro Par'!#REF!</definedName>
    <definedName name="Survival_L1_pupae_Colony">'03 Pro Par'!$I$6</definedName>
    <definedName name="Survival_L1_pupae_MO" localSheetId="12">'03 Pro Par'!#REF!</definedName>
    <definedName name="Survival_L1_pupae_MO" localSheetId="14">'03 Pro Par'!#REF!</definedName>
    <definedName name="Survival_L1_pupae_MO" localSheetId="15">'03 Pro Par'!#REF!</definedName>
    <definedName name="Survival_L1_pupae_MO">'03 Pro Par'!#REF!</definedName>
    <definedName name="Survival_L1_to_pupae_Colony">'03 Pro Par'!$I$6</definedName>
    <definedName name="Survival_larvae_1st_instar_to_pupae" localSheetId="12">'03 Pro Par'!#REF!</definedName>
    <definedName name="Survival_larvae_1st_instar_to_pupae" localSheetId="14">'03 Pro Par'!#REF!</definedName>
    <definedName name="Survival_larvae_1st_instar_to_pupae" localSheetId="15">'03 Pro Par'!#REF!</definedName>
    <definedName name="Survival_larvae_1st_instar_to_pupae">'03 Pro Par'!#REF!</definedName>
    <definedName name="Survival_pupae_to_flying_females" localSheetId="14">'03 Pro Par'!$I$12</definedName>
    <definedName name="Survival_pupae_to_flying_females" localSheetId="15">'03 Pro Par'!$I$12</definedName>
    <definedName name="Survival_pupae_to_flying_females">'03 Pro Par'!$I$12</definedName>
    <definedName name="Survival_pupae_to_flying_males" localSheetId="14">'03 Pro Par'!$I$11</definedName>
    <definedName name="Survival_pupae_to_flying_males" localSheetId="15">'03 Pro Par'!$I$11</definedName>
    <definedName name="Survival_pupae_to_flying_males">'03 Pro Par'!$I$11</definedName>
    <definedName name="Total_beef_liver_powder_required_daily" localSheetId="12">'11 Water'!#REF!</definedName>
    <definedName name="Total_beef_liver_powder_required_daily" localSheetId="14">'07 Diet requirements'!#REF!</definedName>
    <definedName name="Total_beef_liver_powder_required_daily" localSheetId="15">'07 Diet requirements'!#REF!</definedName>
    <definedName name="Total_beef_liver_powder_required_daily">'07 Diet requirements'!#REF!</definedName>
    <definedName name="Total_blood_needed_daily" localSheetId="12">#REF!</definedName>
    <definedName name="Total_blood_needed_daily" localSheetId="14">#REF!</definedName>
    <definedName name="Total_blood_needed_daily" localSheetId="15">#REF!</definedName>
    <definedName name="Total_blood_needed_daily">#REF!</definedName>
    <definedName name="Total_blood_needed_weekly" localSheetId="12">#REF!</definedName>
    <definedName name="Total_blood_needed_weekly" localSheetId="14">#REF!</definedName>
    <definedName name="Total_blood_needed_weekly" localSheetId="15">#REF!</definedName>
    <definedName name="Total_blood_needed_weekly">#REF!</definedName>
    <definedName name="Total_brewer_component4_weekly" localSheetId="12">'11 Water'!#REF!</definedName>
    <definedName name="Total_brewer_component4_weekly" localSheetId="14">'07 Diet requirements'!#REF!</definedName>
    <definedName name="Total_brewer_component4_weekly" localSheetId="15">'07 Diet requirements'!#REF!</definedName>
    <definedName name="Total_brewer_component4_weekly">'07 Diet requirements'!#REF!</definedName>
    <definedName name="Total_brewer_component5_weekly" localSheetId="12">'11 Water'!#REF!</definedName>
    <definedName name="Total_brewer_component5_weekly" localSheetId="14">'07 Diet requirements'!#REF!</definedName>
    <definedName name="Total_brewer_component5_weekly" localSheetId="15">'07 Diet requirements'!#REF!</definedName>
    <definedName name="Total_brewer_component5_weekly">'07 Diet requirements'!#REF!</definedName>
    <definedName name="Total_brewer_yeast_required_daily" localSheetId="12">'11 Water'!#REF!</definedName>
    <definedName name="Total_brewer_yeast_required_daily" localSheetId="14">'07 Diet requirements'!#REF!</definedName>
    <definedName name="Total_brewer_yeast_required_daily" localSheetId="15">'07 Diet requirements'!#REF!</definedName>
    <definedName name="Total_brewer_yeast_required_daily">'07 Diet requirements'!#REF!</definedName>
    <definedName name="Total_brewer_yeast_required_daily_b" localSheetId="12">'11 Water'!#REF!</definedName>
    <definedName name="Total_brewer_yeast_required_daily_b" localSheetId="14">'07 Diet requirements'!#REF!</definedName>
    <definedName name="Total_brewer_yeast_required_daily_b" localSheetId="15">'07 Diet requirements'!#REF!</definedName>
    <definedName name="Total_brewer_yeast_required_daily_b">'07 Diet requirements'!#REF!</definedName>
    <definedName name="Total_brewer_yeast_required_weekly" localSheetId="12">'11 Water'!#REF!</definedName>
    <definedName name="Total_brewer_yeast_required_weekly" localSheetId="14">'07 Diet requirements'!#REF!</definedName>
    <definedName name="Total_brewer_yeast_required_weekly" localSheetId="15">'07 Diet requirements'!#REF!</definedName>
    <definedName name="Total_brewer_yeast_required_weekly">'07 Diet requirements'!#REF!</definedName>
    <definedName name="Total_component4_required_daily" localSheetId="12">'11 Water'!#REF!</definedName>
    <definedName name="Total_component4_required_daily" localSheetId="14">'07 Diet requirements'!#REF!</definedName>
    <definedName name="Total_component4_required_daily" localSheetId="15">'07 Diet requirements'!#REF!</definedName>
    <definedName name="Total_component4_required_daily">'07 Diet requirements'!#REF!</definedName>
    <definedName name="Total_Component4_required_daily_B" localSheetId="12">'11 Water'!#REF!</definedName>
    <definedName name="Total_Component4_required_daily_B" localSheetId="14">'07 Diet requirements'!#REF!</definedName>
    <definedName name="Total_Component4_required_daily_B" localSheetId="15">'07 Diet requirements'!#REF!</definedName>
    <definedName name="Total_Component4_required_daily_B">'07 Diet requirements'!#REF!</definedName>
    <definedName name="Total_component4b_required_daily" localSheetId="12">'11 Water'!#REF!</definedName>
    <definedName name="Total_component4b_required_daily" localSheetId="14">'07 Diet requirements'!#REF!</definedName>
    <definedName name="Total_component4b_required_daily" localSheetId="15">'07 Diet requirements'!#REF!</definedName>
    <definedName name="Total_component4b_required_daily">'07 Diet requirements'!#REF!</definedName>
    <definedName name="Total_component5_required_daily" localSheetId="12">'11 Water'!#REF!</definedName>
    <definedName name="Total_component5_required_daily" localSheetId="14">'07 Diet requirements'!#REF!</definedName>
    <definedName name="Total_component5_required_daily" localSheetId="15">'07 Diet requirements'!#REF!</definedName>
    <definedName name="Total_component5_required_daily">'07 Diet requirements'!#REF!</definedName>
    <definedName name="Total_component6_required_daily" localSheetId="12">'11 Water'!#REF!</definedName>
    <definedName name="Total_component6_required_daily" localSheetId="14">'07 Diet requirements'!#REF!</definedName>
    <definedName name="Total_component6_required_daily" localSheetId="15">'07 Diet requirements'!#REF!</definedName>
    <definedName name="Total_component6_required_daily">'07 Diet requirements'!#REF!</definedName>
    <definedName name="Total_component6_required_weekly" localSheetId="12">'11 Water'!#REF!</definedName>
    <definedName name="Total_component6_required_weekly" localSheetId="14">'07 Diet requirements'!#REF!</definedName>
    <definedName name="Total_component6_required_weekly" localSheetId="15">'07 Diet requirements'!#REF!</definedName>
    <definedName name="Total_component6_required_weekly">'07 Diet requirements'!#REF!</definedName>
    <definedName name="total_construction_atrea_of_the_mass_rearing_facility" localSheetId="14">'12 Area cal.'!$I$22</definedName>
    <definedName name="total_construction_atrea_of_the_mass_rearing_facility" localSheetId="15">'12 Area cal.'!$H$22</definedName>
    <definedName name="total_construction_atrea_of_the_mass_rearing_facility">'12 Area cal.'!$H$22</definedName>
    <definedName name="total_construction_atrea_of_the_release_facility" localSheetId="14">'12 Area cal.'!$I$33</definedName>
    <definedName name="total_construction_atrea_of_the_release_facility" localSheetId="15">'12 Area cal.'!$H$34</definedName>
    <definedName name="total_construction_atrea_of_the_release_facility">'12 Area cal.'!$H$34</definedName>
    <definedName name="Total_number_of_cages_permanently_in_use_for_MO_egg_production__Preoviposition_Oviposition" localSheetId="14">'05 Mass rearing Facility'!$C$23</definedName>
    <definedName name="Total_number_of_cages_permanently_in_use_for_MO_egg_production__Preoviposition_Oviposition" localSheetId="15">'05 Mass rearing Facility'!$C$23</definedName>
    <definedName name="Total_number_of_cages_permanently_in_use_for_MO_egg_production__Preoviposition_Oviposition">'05 Mass rearing Facility'!$C$23</definedName>
    <definedName name="Total_number_of_cages_permanently_in_use_in_the_adults_room__Preoviposition_Oviposition">'05 Mass rearing Facility'!$C$23</definedName>
    <definedName name="Total_number_of_cages_permanently_in_use_in_the_emergence_center" localSheetId="14">'04 Release Facility'!$C$7</definedName>
    <definedName name="Total_number_of_cages_permanently_in_use_in_the_emergence_center" localSheetId="15">'04 Release Facility'!$C$7</definedName>
    <definedName name="Total_number_of_cages_permanently_in_use_in_the_emergence_center">'04 Release Facility'!$C$7</definedName>
    <definedName name="Total_number_of_filter_cages_permanently_in_use__Preoviposition_Oviposition" localSheetId="12">'05 Mass rearing Facility'!#REF!</definedName>
    <definedName name="Total_number_of_filter_cages_permanently_in_use__Preoviposition_Oviposition" localSheetId="14">'05 Mass rearing Facility'!#REF!</definedName>
    <definedName name="Total_number_of_filter_cages_permanently_in_use__Preoviposition_Oviposition" localSheetId="15">'05 Mass rearing Facility'!#REF!</definedName>
    <definedName name="Total_number_of_filter_cages_permanently_in_use__Preoviposition_Oviposition">'05 Mass rearing Facility'!#REF!</definedName>
    <definedName name="Total_number_of_MO_trays_permanently_in_use_in_the_larval_room" localSheetId="14">'05 Mass rearing Facility'!$C$19</definedName>
    <definedName name="Total_number_of_MO_trays_permanently_in_use_in_the_larval_room" localSheetId="15">'05 Mass rearing Facility'!$C$19</definedName>
    <definedName name="Total_number_of_MO_trays_permanently_in_use_in_the_larval_room">'05 Mass rearing Facility'!$C$19</definedName>
    <definedName name="Total_number_of_racks_for_colony_replacement_permanently_in_use_in_the_larval_room" localSheetId="12">'05 Mass rearing Facility'!#REF!</definedName>
    <definedName name="Total_number_of_racks_for_colony_replacement_permanently_in_use_in_the_larval_room" localSheetId="14">'05 Mass rearing Facility'!#REF!</definedName>
    <definedName name="Total_number_of_racks_for_colony_replacement_permanently_in_use_in_the_larval_room" localSheetId="15">'05 Mass rearing Facility'!#REF!</definedName>
    <definedName name="Total_number_of_racks_for_colony_replacement_permanently_in_use_in_the_larval_room">'05 Mass rearing Facility'!#REF!</definedName>
    <definedName name="Total_number_of_racks_permanently_in_use_in_the_larval_room" localSheetId="14">'05 Mass rearing Facility'!$C$20</definedName>
    <definedName name="Total_number_of_racks_permanently_in_use_in_the_larval_room" localSheetId="15">'05 Mass rearing Facility'!$C$20</definedName>
    <definedName name="Total_number_of_racks_permanently_in_use_in_the_larval_room">'05 Mass rearing Facility'!$C$20</definedName>
    <definedName name="Total_number_of_racks_permanently_in_use_in_the_larval_room_for_MO">'05 Mass rearing Facility'!$C$20</definedName>
    <definedName name="Total_number_of_racks_permanently_in_use_in_the_larval_room_MO">'05 Mass rearing Facility'!$C$20</definedName>
    <definedName name="Total_number_of_trays_for_colony_replacement_permanently_in_use_in_the_larval_room" localSheetId="12">'05 Mass rearing Facility'!#REF!</definedName>
    <definedName name="Total_number_of_trays_for_colony_replacement_permanently_in_use_in_the_larval_room" localSheetId="14">'05 Mass rearing Facility'!#REF!</definedName>
    <definedName name="Total_number_of_trays_for_colony_replacement_permanently_in_use_in_the_larval_room" localSheetId="15">'05 Mass rearing Facility'!#REF!</definedName>
    <definedName name="Total_number_of_trays_for_colony_replacement_permanently_in_use_in_the_larval_room">'05 Mass rearing Facility'!#REF!</definedName>
    <definedName name="Total_number_of_trays_permanently_in_use_in_the_larval_room">'05 Mass rearing Facility'!$C$19</definedName>
    <definedName name="Total_Sugar_needed_daily" localSheetId="12">#REF!</definedName>
    <definedName name="Total_Sugar_needed_daily" localSheetId="14">#REF!</definedName>
    <definedName name="Total_Sugar_needed_daily" localSheetId="15">#REF!</definedName>
    <definedName name="Total_Sugar_needed_daily">#REF!</definedName>
    <definedName name="Total_Sugar_needed_weekly" localSheetId="12">#REF!</definedName>
    <definedName name="Total_Sugar_needed_weekly" localSheetId="14">#REF!</definedName>
    <definedName name="Total_Sugar_needed_weekly" localSheetId="15">#REF!</definedName>
    <definedName name="Total_Sugar_needed_weekly">#REF!</definedName>
    <definedName name="Total_tuna_meal_required_daily" localSheetId="12">'11 Water'!#REF!</definedName>
    <definedName name="Total_tuna_meal_required_daily" localSheetId="14">'07 Diet requirements'!#REF!</definedName>
    <definedName name="Total_tuna_meal_required_daily" localSheetId="15">'07 Diet requirements'!#REF!</definedName>
    <definedName name="Total_tuna_meal_required_daily">'07 Diet requirements'!#REF!</definedName>
    <definedName name="Total_tuna_meal_required_weekly" localSheetId="12">'11 Water'!#REF!</definedName>
    <definedName name="Total_tuna_meal_required_weekly" localSheetId="14">'07 Diet requirements'!#REF!</definedName>
    <definedName name="Total_tuna_meal_required_weekly" localSheetId="15">'07 Diet requirements'!#REF!</definedName>
    <definedName name="Total_tuna_meal_required_weekly">'07 Diet requirements'!#REF!</definedName>
    <definedName name="Total_Vitamin_mix_required_daily" localSheetId="12">'11 Water'!#REF!</definedName>
    <definedName name="Total_Vitamin_mix_required_daily" localSheetId="14">'07 Diet requirements'!#REF!</definedName>
    <definedName name="Total_Vitamin_mix_required_daily" localSheetId="15">'07 Diet requirements'!#REF!</definedName>
    <definedName name="Total_Vitamin_mix_required_daily">'07 Diet requirements'!#REF!</definedName>
    <definedName name="Total_Vitamin_mix_required_weekly" localSheetId="12">'11 Water'!#REF!</definedName>
    <definedName name="Total_Vitamin_mix_required_weekly" localSheetId="14">'07 Diet requirements'!#REF!</definedName>
    <definedName name="Total_Vitamin_mix_required_weekly" localSheetId="15">'07 Diet requirements'!#REF!</definedName>
    <definedName name="Total_Vitamin_mix_required_weekly">'07 Diet requirements'!#REF!</definedName>
    <definedName name="Total_Water_needed_daily" localSheetId="12">#REF!</definedName>
    <definedName name="Total_Water_needed_daily" localSheetId="14">#REF!</definedName>
    <definedName name="Total_Water_needed_daily" localSheetId="15">#REF!</definedName>
    <definedName name="Total_Water_needed_daily">#REF!</definedName>
    <definedName name="Total_Water_needed_weekly" localSheetId="12">#REF!</definedName>
    <definedName name="Total_Water_needed_weekly" localSheetId="14">#REF!</definedName>
    <definedName name="Total_Water_needed_weekly" localSheetId="15">#REF!</definedName>
    <definedName name="Total_Water_needed_weekly">#REF!</definedName>
    <definedName name="tray_washing_machine_capacity" localSheetId="14">'03 Pro Par'!$I$50</definedName>
    <definedName name="tray_washing_machine_capacity" localSheetId="15">'03 Pro Par'!$I$50</definedName>
    <definedName name="tray_washing_machine_capacity">'03 Pro Par'!#REF!</definedName>
    <definedName name="trays_per_rack_MO" localSheetId="12">'03 Pro Par'!#REF!</definedName>
    <definedName name="trays_per_rack_MO" localSheetId="14">'03 Pro Par'!#REF!</definedName>
    <definedName name="trays_per_rack_MO" localSheetId="15">'03 Pro Par'!#REF!</definedName>
    <definedName name="trays_per_rack_MO">'03 Pro Par'!#REF!</definedName>
    <definedName name="Tuna_meal_percentage" localSheetId="14">'06 Diet formulation'!$C$7</definedName>
    <definedName name="Tuna_meal_percentage" localSheetId="15">'06 Diet formulation'!$C$7</definedName>
    <definedName name="Tuna_meal_percentage">'06 Diet formulation'!$C$7</definedName>
    <definedName name="tuna_meal_required_daily_for_colony" localSheetId="12">'11 Water'!#REF!</definedName>
    <definedName name="tuna_meal_required_daily_for_colony" localSheetId="14">'07 Diet requirements'!#REF!</definedName>
    <definedName name="tuna_meal_required_daily_for_colony" localSheetId="15">'07 Diet requirements'!#REF!</definedName>
    <definedName name="tuna_meal_required_daily_for_colony">'07 Diet requirements'!#REF!</definedName>
    <definedName name="tuna_meal_required_daily_for_MO" localSheetId="12">'11 Water'!#REF!</definedName>
    <definedName name="tuna_meal_required_daily_for_MO" localSheetId="14">'07 Diet requirements'!#REF!</definedName>
    <definedName name="tuna_meal_required_daily_for_MO" localSheetId="15">'07 Diet requirements'!#REF!</definedName>
    <definedName name="tuna_meal_required_daily_for_MO">'07 Diet requirements'!#REF!</definedName>
    <definedName name="tuna_meal_required_weekly_for_colony" localSheetId="12">'11 Water'!#REF!</definedName>
    <definedName name="tuna_meal_required_weekly_for_colony" localSheetId="14">'07 Diet requirements'!#REF!</definedName>
    <definedName name="tuna_meal_required_weekly_for_colony" localSheetId="15">'07 Diet requirements'!#REF!</definedName>
    <definedName name="tuna_meal_required_weekly_for_colony">'07 Diet requirements'!#REF!</definedName>
    <definedName name="tuna_meal_required_weekly_for_MO" localSheetId="12">'11 Water'!#REF!</definedName>
    <definedName name="tuna_meal_required_weekly_for_MO" localSheetId="14">'07 Diet requirements'!#REF!</definedName>
    <definedName name="tuna_meal_required_weekly_for_MO" localSheetId="15">'07 Diet requirements'!#REF!</definedName>
    <definedName name="tuna_meal_required_weekly_for_MO">'07 Diet requirements'!#REF!</definedName>
    <definedName name="Vertical_net_in_colony_cages" localSheetId="14">'03 Pro Par'!$I$37</definedName>
    <definedName name="Vertical_net_in_colony_cages" localSheetId="15">'03 Pro Par'!$I$37</definedName>
    <definedName name="Vertical_net_in_colony_cages">'03 Pro Par'!$I$35</definedName>
    <definedName name="vertical_net_in_filter_cages" localSheetId="12">'03 Pro Par'!#REF!</definedName>
    <definedName name="vertical_net_in_filter_cages" localSheetId="14">'03 Pro Par'!#REF!</definedName>
    <definedName name="vertical_net_in_filter_cages" localSheetId="15">'03 Pro Par'!#REF!</definedName>
    <definedName name="vertical_net_in_filter_cages">'03 Pro Par'!#REF!</definedName>
    <definedName name="Vertical_net_in_MO_cages">'03 Pro Par'!$I$35</definedName>
    <definedName name="Vertical_resting_place_for_colony_cages" localSheetId="14">'03 Pro Par'!$I$40</definedName>
    <definedName name="Vertical_resting_place_for_colony_cages" localSheetId="15">'03 Pro Par'!$I$40</definedName>
    <definedName name="Vertical_resting_place_for_colony_cages">'03 Pro Par'!$I$38</definedName>
    <definedName name="Vertical_resting_place_in_colony_cages" localSheetId="14">'03 Pro Par'!$I$41</definedName>
    <definedName name="Vertical_resting_place_in_colony_cages" localSheetId="15">'03 Pro Par'!$I$41</definedName>
    <definedName name="Vertical_resting_place_in_colony_cages">'03 Pro Par'!$I$39</definedName>
    <definedName name="vertical_resting_place_in_filter_cages" localSheetId="12">'03 Pro Par'!#REF!</definedName>
    <definedName name="vertical_resting_place_in_filter_cages" localSheetId="14">'03 Pro Par'!#REF!</definedName>
    <definedName name="vertical_resting_place_in_filter_cages" localSheetId="15">'03 Pro Par'!#REF!</definedName>
    <definedName name="vertical_resting_place_in_filter_cages">'03 Pro Par'!#REF!</definedName>
    <definedName name="Verticla_resting_place_in_MO_cages" localSheetId="14">'03 Pro Par'!$I$36</definedName>
    <definedName name="Verticla_resting_place_in_MO_cages" localSheetId="15">'03 Pro Par'!$I$36</definedName>
    <definedName name="Verticla_resting_place_in_MO_cages">'03 Pro Par'!$I$34</definedName>
    <definedName name="Vitamin_mix_percentage">'06 Diet formulation'!$C$8</definedName>
    <definedName name="Vitamin_mix_required_daily_for_colony" localSheetId="12">'11 Water'!#REF!</definedName>
    <definedName name="Vitamin_mix_required_daily_for_colony" localSheetId="14">'07 Diet requirements'!#REF!</definedName>
    <definedName name="Vitamin_mix_required_daily_for_colony" localSheetId="15">'07 Diet requirements'!#REF!</definedName>
    <definedName name="Vitamin_mix_required_daily_for_colony">'07 Diet requirements'!#REF!</definedName>
    <definedName name="Vitamin_mix_required_daily_for_MO" localSheetId="12">'11 Water'!#REF!</definedName>
    <definedName name="Vitamin_mix_required_daily_for_MO" localSheetId="14">'07 Diet requirements'!#REF!</definedName>
    <definedName name="Vitamin_mix_required_daily_for_MO" localSheetId="15">'07 Diet requirements'!#REF!</definedName>
    <definedName name="Vitamin_mix_required_daily_for_MO">'07 Diet requirements'!#REF!</definedName>
    <definedName name="Vitamin_mix_required_weekly_for_colony" localSheetId="12">'11 Water'!#REF!</definedName>
    <definedName name="Vitamin_mix_required_weekly_for_colony" localSheetId="14">'07 Diet requirements'!#REF!</definedName>
    <definedName name="Vitamin_mix_required_weekly_for_colony" localSheetId="15">'07 Diet requirements'!#REF!</definedName>
    <definedName name="Vitamin_mix_required_weekly_for_colony">'07 Diet requirements'!#REF!</definedName>
    <definedName name="Vitamin_mix_required_weekly_for_MO" localSheetId="12">'11 Water'!#REF!</definedName>
    <definedName name="Vitamin_mix_required_weekly_for_MO" localSheetId="14">'07 Diet requirements'!#REF!</definedName>
    <definedName name="Vitamin_mix_required_weekly_for_MO" localSheetId="15">'07 Diet requirements'!#REF!</definedName>
    <definedName name="Vitamin_mix_required_weekly_for_MO">'07 Diet requirements'!#REF!</definedName>
    <definedName name="volume_of_colony_trays" localSheetId="14">'03 Pro Par'!#REF!</definedName>
    <definedName name="volume_of_colony_trays" localSheetId="15">'03 Pro Par'!#REF!</definedName>
    <definedName name="volume_of_colony_trays">'03 Pro Par'!$I$29</definedName>
    <definedName name="volume_of_MO_larval_tray" localSheetId="12">'03 Pro Par'!#REF!</definedName>
    <definedName name="volume_of_MO_larval_tray" localSheetId="14">'03 Pro Par'!#REF!</definedName>
    <definedName name="volume_of_MO_larval_tray" localSheetId="15">'03 Pro Par'!#REF!</definedName>
    <definedName name="volume_of_MO_larval_tray">'03 Pro Par'!#REF!</definedName>
    <definedName name="Volume_of_water_per_colony_cage" localSheetId="14">'06 Diet formulation'!$C$37</definedName>
    <definedName name="Volume_of_water_per_colony_cage" localSheetId="15">'06 Diet formulation'!$C$37</definedName>
    <definedName name="Volume_of_water_per_colony_cage">'06 Diet formulation'!$C$37</definedName>
    <definedName name="Volume_of_water_per_MO_cage" localSheetId="14">'06 Diet formulation'!$C$38</definedName>
    <definedName name="Volume_of_water_per_MO_cage" localSheetId="15">'06 Diet formulation'!$C$38</definedName>
    <definedName name="Volume_of_water_per_MO_cage">'06 Diet formulation'!$C$38</definedName>
    <definedName name="Volume_ol_larval_diet_added_on_day_1" localSheetId="14">'06 Diet formulation'!$C$21</definedName>
    <definedName name="Volume_ol_larval_diet_added_on_day_1" localSheetId="15">'06 Diet formulation'!$C$21</definedName>
    <definedName name="Volume_ol_larval_diet_added_on_day_1">'06 Diet formulation'!$C$21</definedName>
    <definedName name="Volume_ol_larval_diet_added_on_day_2" localSheetId="14">'06 Diet formulation'!$C$22</definedName>
    <definedName name="Volume_ol_larval_diet_added_on_day_2" localSheetId="15">'06 Diet formulation'!$C$22</definedName>
    <definedName name="Volume_ol_larval_diet_added_on_day_2">'06 Diet formulation'!$C$22</definedName>
    <definedName name="Volume_ol_larval_diet_added_on_day_3" localSheetId="14">'06 Diet formulation'!$C$23</definedName>
    <definedName name="Volume_ol_larval_diet_added_on_day_3" localSheetId="15">'06 Diet formulation'!$C$23</definedName>
    <definedName name="Volume_ol_larval_diet_added_on_day_3">'06 Diet formulation'!$C$23</definedName>
    <definedName name="Volume_ol_larval_diet_added_on_day_4" localSheetId="14">'06 Diet formulation'!$C$24</definedName>
    <definedName name="Volume_ol_larval_diet_added_on_day_4" localSheetId="15">'06 Diet formulation'!$C$24</definedName>
    <definedName name="Volume_ol_larval_diet_added_on_day_4">'06 Diet formulation'!$C$24</definedName>
    <definedName name="Volume_ol_larval_diet_added_on_day_5" localSheetId="14">'06 Diet formulation'!$C$25</definedName>
    <definedName name="Volume_ol_larval_diet_added_on_day_5" localSheetId="15">'06 Diet formulation'!$C$25</definedName>
    <definedName name="Volume_ol_larval_diet_added_on_day_5">'06 Diet formulation'!$C$25</definedName>
    <definedName name="Volume_ol_larval_diet_added_on_day_6" localSheetId="14">'06 Diet formulation'!$C$26</definedName>
    <definedName name="Volume_ol_larval_diet_added_on_day_6" localSheetId="15">'06 Diet formulation'!$C$26</definedName>
    <definedName name="Volume_ol_larval_diet_added_on_day_6">'06 Diet formulation'!$C$26</definedName>
    <definedName name="Volume_ol_larval_diet_added_on_day_7__after_1st_sorting" localSheetId="14">'06 Diet formulation'!$C$27</definedName>
    <definedName name="Volume_ol_larval_diet_added_on_day_7__after_1st_sorting" localSheetId="15">'06 Diet formulation'!$C$27</definedName>
    <definedName name="Volume_ol_larval_diet_added_on_day_7__after_1st_sorting">'06 Diet formulation'!$C$27</definedName>
    <definedName name="Volume_ol_larval_diet_added_on_day_8__after_2nd_sorting" localSheetId="14">'06 Diet formulation'!$C$28</definedName>
    <definedName name="Volume_ol_larval_diet_added_on_day_8__after_2nd_sorting" localSheetId="15">'06 Diet formulation'!$C$28</definedName>
    <definedName name="Volume_ol_larval_diet_added_on_day_8__after_2nd_sorting">'06 Diet formulation'!$C$28</definedName>
    <definedName name="Water_needed_daily_for_colony_cages" localSheetId="12">#REF!</definedName>
    <definedName name="Water_needed_daily_for_colony_cages" localSheetId="14">#REF!</definedName>
    <definedName name="Water_needed_daily_for_colony_cages" localSheetId="15">#REF!</definedName>
    <definedName name="Water_needed_daily_for_colony_cages">#REF!</definedName>
    <definedName name="Water_needed_daily_for_MO_cages" localSheetId="12">#REF!</definedName>
    <definedName name="Water_needed_daily_for_MO_cages" localSheetId="14">#REF!</definedName>
    <definedName name="Water_needed_daily_for_MO_cages" localSheetId="15">#REF!</definedName>
    <definedName name="Water_needed_daily_for_MO_cages">#REF!</definedName>
    <definedName name="Water_needed_weekly_for_colony_cages" localSheetId="12">#REF!</definedName>
    <definedName name="Water_needed_weekly_for_colony_cages" localSheetId="14">#REF!</definedName>
    <definedName name="Water_needed_weekly_for_colony_cages" localSheetId="15">#REF!</definedName>
    <definedName name="Water_needed_weekly_for_colony_cages">#REF!</definedName>
    <definedName name="Water_needed_weekly_for_MO_cages" localSheetId="12">#REF!</definedName>
    <definedName name="Water_needed_weekly_for_MO_cages" localSheetId="14">#REF!</definedName>
    <definedName name="Water_needed_weekly_for_MO_cages" localSheetId="15">#REF!</definedName>
    <definedName name="Water_needed_weekly_for_MO_cages">#REF!</definedName>
    <definedName name="Water_percentage_in_adult_diet" localSheetId="14">'06 Diet formulation'!$C$33</definedName>
    <definedName name="Water_percentage_in_adult_diet" localSheetId="15">'06 Diet formulation'!$C$33</definedName>
    <definedName name="Water_percentage_in_adult_diet">'06 Diet formulation'!$C$33</definedName>
    <definedName name="Weekly_production_of_flying_males_for_release" localSheetId="12">'01 Start up &amp; Summary'!#REF!</definedName>
    <definedName name="Weekly_production_of_flying_males_for_release" localSheetId="14">'01 Start up &amp; Summary'!#REF!</definedName>
    <definedName name="Weekly_production_of_flying_males_for_release" localSheetId="15">'01 Start up &amp; Summary'!#REF!</definedName>
    <definedName name="Weekly_production_of_flying_males_for_release">'01 Start up &amp; Summary'!#REF!</definedName>
    <definedName name="Weekly_pupal_production" localSheetId="14">'01 Start up &amp; Summary'!$D$4</definedName>
    <definedName name="Weekly_pupal_production" localSheetId="15">'01 Start up &amp; Summary'!$D$4</definedName>
    <definedName name="Weekly_pupal_production">'01 Start up &amp; Summary'!$D$4</definedName>
    <definedName name="Weekly_pupal_production_level_for_release">'01 Start up &amp; Summary'!$D$4</definedName>
    <definedName name="Weight_of_sugar_per_colony_cage" localSheetId="14">'06 Diet formulation'!$C$35</definedName>
    <definedName name="Weight_of_sugar_per_colony_cage" localSheetId="15">'06 Diet formulation'!$C$35</definedName>
    <definedName name="Weight_of_sugar_per_colony_cage">'06 Diet formulation'!$C$35</definedName>
    <definedName name="Weight_of_sugar_per_MO_cage" localSheetId="14">'06 Diet formulation'!$C$36</definedName>
    <definedName name="Weight_of_sugar_per_MO_cage" localSheetId="15">'06 Diet formulation'!$C$36</definedName>
    <definedName name="Weight_of_sugar_per_MO_cage">'06 Diet formulation'!$C$36</definedName>
    <definedName name="Yearly_cost_of_consumables" localSheetId="14">'16 Diet-cost'!$G$25</definedName>
    <definedName name="Yearly_cost_of_consumables" localSheetId="15">'16 Diet-cost'!$G$25</definedName>
    <definedName name="Yearly_cost_of_consumables">'16 Diet-cost'!$G$25</definedName>
    <definedName name="yearly_depreciation_of_emergence_facility" localSheetId="14">'13 Const. cost'!$E$20</definedName>
    <definedName name="yearly_depreciation_of_emergence_facility" localSheetId="15">'13 Const. cost'!$E$19</definedName>
    <definedName name="yearly_depreciation_of_emergence_facility">#REF!</definedName>
    <definedName name="yearly_depreciation_of_equipment" localSheetId="14">'15 Equipment-budget'!$F$34</definedName>
    <definedName name="yearly_depreciation_of_equipment" localSheetId="15">'15 Equipment-budget'!$F$34</definedName>
    <definedName name="yearly_depreciation_of_equipment">'15 Equipment-budget'!$F$35</definedName>
    <definedName name="yearly_depreciation_of_mass_rearing_facility" localSheetId="14">'13 Const. cost'!$E$11</definedName>
    <definedName name="yearly_depreciation_of_mass_rearing_facility" localSheetId="15">'13 Const. cost'!$E$11</definedName>
    <definedName name="yearly_depreciation_of_mass_rearing_facility">#REF!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10" l="1"/>
  <c r="E61" i="43" l="1"/>
  <c r="E60" i="43"/>
  <c r="E58" i="43"/>
  <c r="E56" i="43"/>
  <c r="E55" i="43"/>
  <c r="F53" i="43"/>
  <c r="F48" i="43"/>
  <c r="E46" i="43"/>
  <c r="E54" i="43" s="1"/>
  <c r="E37" i="43"/>
  <c r="E33" i="43"/>
  <c r="E20" i="43"/>
  <c r="E14" i="43"/>
  <c r="E13" i="43"/>
  <c r="E12" i="43"/>
  <c r="I20" i="8" l="1"/>
  <c r="C4" i="7" l="1"/>
  <c r="C4" i="6"/>
  <c r="F29" i="35"/>
  <c r="F28" i="35"/>
  <c r="F19" i="43"/>
  <c r="E6" i="32"/>
  <c r="E15" i="32" s="1"/>
  <c r="E7" i="32"/>
  <c r="E9" i="32" s="1"/>
  <c r="C7" i="32"/>
  <c r="E12" i="32"/>
  <c r="F20" i="35"/>
  <c r="F18" i="35"/>
  <c r="F19" i="35"/>
  <c r="C27" i="35"/>
  <c r="C26" i="35"/>
  <c r="C17" i="35"/>
  <c r="C16" i="35"/>
  <c r="C15" i="35"/>
  <c r="C14" i="35"/>
  <c r="C13" i="35"/>
  <c r="C12" i="35"/>
  <c r="C11" i="35"/>
  <c r="C10" i="35"/>
  <c r="C9" i="35"/>
  <c r="C8" i="35"/>
  <c r="C7" i="35"/>
  <c r="C6" i="35"/>
  <c r="B13" i="42"/>
  <c r="F23" i="43"/>
  <c r="I6" i="8"/>
  <c r="I41" i="8"/>
  <c r="C41" i="12"/>
  <c r="I31" i="8"/>
  <c r="G29" i="35"/>
  <c r="C5" i="37"/>
  <c r="I39" i="8"/>
  <c r="I40" i="8" s="1"/>
  <c r="I29" i="8"/>
  <c r="I30" i="8" s="1"/>
  <c r="B5" i="42"/>
  <c r="I35" i="8"/>
  <c r="I36" i="8" s="1"/>
  <c r="I37" i="8" s="1"/>
  <c r="C6" i="6" s="1"/>
  <c r="F6" i="43"/>
  <c r="F39" i="43"/>
  <c r="F24" i="15"/>
  <c r="F25" i="15" s="1"/>
  <c r="D14" i="42"/>
  <c r="D16" i="42"/>
  <c r="D17" i="42"/>
  <c r="C17" i="42"/>
  <c r="G9" i="8"/>
  <c r="H9" i="8"/>
  <c r="I9" i="8" s="1"/>
  <c r="G8" i="8"/>
  <c r="H8" i="8"/>
  <c r="I8" i="8" s="1"/>
  <c r="F5" i="15"/>
  <c r="F6" i="15"/>
  <c r="F9" i="15"/>
  <c r="F10" i="15"/>
  <c r="H20" i="15"/>
  <c r="F31" i="15"/>
  <c r="H31" i="15"/>
  <c r="B16" i="32"/>
  <c r="B15" i="32"/>
  <c r="C7" i="37"/>
  <c r="C6" i="37"/>
  <c r="H20" i="39"/>
  <c r="C12" i="12"/>
  <c r="F32" i="15"/>
  <c r="H32" i="15" s="1"/>
  <c r="C5" i="6"/>
  <c r="C33" i="12"/>
  <c r="B7" i="32"/>
  <c r="B8" i="32"/>
  <c r="B12" i="32"/>
  <c r="B6" i="32"/>
  <c r="C8" i="37"/>
  <c r="B9" i="13"/>
  <c r="B8" i="13"/>
  <c r="B7" i="13"/>
  <c r="C5" i="7"/>
  <c r="H19" i="15"/>
  <c r="I42" i="8" l="1"/>
  <c r="E17" i="42"/>
  <c r="C38" i="12"/>
  <c r="C16" i="9" s="1"/>
  <c r="C37" i="12"/>
  <c r="E16" i="32"/>
  <c r="E8" i="32"/>
  <c r="E10" i="32" s="1"/>
  <c r="C7" i="7"/>
  <c r="C8" i="7" s="1"/>
  <c r="D8" i="7" s="1"/>
  <c r="C6" i="43" s="1"/>
  <c r="D19" i="43" s="1"/>
  <c r="C26" i="10"/>
  <c r="C8" i="6"/>
  <c r="C21" i="12"/>
  <c r="C25" i="12"/>
  <c r="D25" i="12" s="1"/>
  <c r="C22" i="12"/>
  <c r="D22" i="12" s="1"/>
  <c r="C26" i="12"/>
  <c r="D26" i="12" s="1"/>
  <c r="C23" i="12"/>
  <c r="D23" i="12" s="1"/>
  <c r="C27" i="12"/>
  <c r="D27" i="12" s="1"/>
  <c r="C24" i="12"/>
  <c r="D24" i="12" s="1"/>
  <c r="C28" i="12"/>
  <c r="D28" i="12" s="1"/>
  <c r="H19" i="39"/>
  <c r="E11" i="32"/>
  <c r="I16" i="8"/>
  <c r="I21" i="8"/>
  <c r="C32" i="43"/>
  <c r="F32" i="43" s="1"/>
  <c r="C34" i="43"/>
  <c r="F34" i="43" s="1"/>
  <c r="C7" i="6"/>
  <c r="C20" i="10" s="1"/>
  <c r="C22" i="10" s="1"/>
  <c r="C105" i="10"/>
  <c r="C107" i="10" s="1"/>
  <c r="C13" i="41"/>
  <c r="E13" i="41" s="1"/>
  <c r="F13" i="41" s="1"/>
  <c r="C36" i="43"/>
  <c r="C35" i="43"/>
  <c r="F35" i="43" s="1"/>
  <c r="C37" i="43"/>
  <c r="F37" i="43" s="1"/>
  <c r="E25" i="15"/>
  <c r="H25" i="15" s="1"/>
  <c r="C15" i="42" s="1"/>
  <c r="E15" i="42" s="1"/>
  <c r="C19" i="9"/>
  <c r="D19" i="9" s="1"/>
  <c r="N22" i="39"/>
  <c r="C43" i="12"/>
  <c r="I43" i="8"/>
  <c r="C42" i="12"/>
  <c r="E8" i="41" l="1"/>
  <c r="F8" i="41" s="1"/>
  <c r="D36" i="43"/>
  <c r="F36" i="43"/>
  <c r="C14" i="7"/>
  <c r="C16" i="7" s="1"/>
  <c r="C18" i="7" s="1"/>
  <c r="C21" i="7" s="1"/>
  <c r="B7" i="39"/>
  <c r="C9" i="7"/>
  <c r="C29" i="10"/>
  <c r="N19" i="39"/>
  <c r="N37" i="39" s="1"/>
  <c r="D21" i="12"/>
  <c r="C33" i="43"/>
  <c r="D33" i="43" s="1"/>
  <c r="F33" i="43" s="1"/>
  <c r="D16" i="9"/>
  <c r="D26" i="35"/>
  <c r="F26" i="35" s="1"/>
  <c r="E24" i="15"/>
  <c r="H24" i="15" s="1"/>
  <c r="C110" i="10"/>
  <c r="D27" i="35" s="1"/>
  <c r="F27" i="35" s="1"/>
  <c r="F38" i="43" l="1"/>
  <c r="F40" i="43" s="1"/>
  <c r="D54" i="43" s="1"/>
  <c r="F54" i="43" s="1"/>
  <c r="C11" i="7"/>
  <c r="D11" i="7" s="1"/>
  <c r="C10" i="7"/>
  <c r="D9" i="7"/>
  <c r="C15" i="7"/>
  <c r="C17" i="7" s="1"/>
  <c r="C11" i="41"/>
  <c r="E11" i="41" s="1"/>
  <c r="F11" i="41" s="1"/>
  <c r="C10" i="43"/>
  <c r="C11" i="43"/>
  <c r="B9" i="39"/>
  <c r="B16" i="39" s="1"/>
  <c r="B20" i="39" s="1"/>
  <c r="B12" i="39"/>
  <c r="C13" i="43"/>
  <c r="F13" i="43" s="1"/>
  <c r="C45" i="10"/>
  <c r="C47" i="10" s="1"/>
  <c r="C50" i="10" s="1"/>
  <c r="E5" i="41"/>
  <c r="F5" i="41" s="1"/>
  <c r="C8" i="43"/>
  <c r="C33" i="10"/>
  <c r="H15" i="15" s="1"/>
  <c r="C14" i="43"/>
  <c r="F14" i="43" s="1"/>
  <c r="C111" i="10"/>
  <c r="F30" i="35"/>
  <c r="F31" i="35"/>
  <c r="C16" i="42"/>
  <c r="E16" i="42" s="1"/>
  <c r="H33" i="15"/>
  <c r="H34" i="15" s="1"/>
  <c r="M14" i="15"/>
  <c r="C73" i="10" l="1"/>
  <c r="C75" i="10" s="1"/>
  <c r="C78" i="10" s="1"/>
  <c r="C79" i="10" s="1"/>
  <c r="C6" i="9"/>
  <c r="C8" i="13" s="1"/>
  <c r="H8" i="13" s="1"/>
  <c r="J8" i="13" s="1"/>
  <c r="F41" i="43"/>
  <c r="D55" i="43" s="1"/>
  <c r="F55" i="43" s="1"/>
  <c r="C7" i="43"/>
  <c r="C9" i="9"/>
  <c r="D9" i="9" s="1"/>
  <c r="D10" i="32" s="1"/>
  <c r="F10" i="32" s="1"/>
  <c r="G10" i="32" s="1"/>
  <c r="C34" i="10"/>
  <c r="C5" i="9"/>
  <c r="C7" i="13" s="1"/>
  <c r="H7" i="13" s="1"/>
  <c r="J7" i="13" s="1"/>
  <c r="C10" i="9"/>
  <c r="C12" i="13" s="1"/>
  <c r="H12" i="13" s="1"/>
  <c r="J12" i="13" s="1"/>
  <c r="C19" i="7"/>
  <c r="C5" i="10" s="1"/>
  <c r="C7" i="10" s="1"/>
  <c r="D6" i="35" s="1"/>
  <c r="F6" i="35" s="1"/>
  <c r="D56" i="43"/>
  <c r="F56" i="43" s="1"/>
  <c r="D61" i="43" s="1"/>
  <c r="F61" i="43" s="1"/>
  <c r="D58" i="43"/>
  <c r="F58" i="43" s="1"/>
  <c r="D9" i="35"/>
  <c r="F9" i="35" s="1"/>
  <c r="D10" i="7"/>
  <c r="D9" i="43" s="1"/>
  <c r="C9" i="43"/>
  <c r="C12" i="7"/>
  <c r="C7" i="9"/>
  <c r="D7" i="9" s="1"/>
  <c r="D8" i="32" s="1"/>
  <c r="F8" i="32" s="1"/>
  <c r="G8" i="32" s="1"/>
  <c r="C89" i="10"/>
  <c r="C91" i="10" s="1"/>
  <c r="C94" i="10" s="1"/>
  <c r="D16" i="35" s="1"/>
  <c r="F16" i="35" s="1"/>
  <c r="C8" i="9"/>
  <c r="D8" i="9" s="1"/>
  <c r="D9" i="32" s="1"/>
  <c r="F9" i="32" s="1"/>
  <c r="G9" i="32" s="1"/>
  <c r="D11" i="43"/>
  <c r="B23" i="39"/>
  <c r="C16" i="43"/>
  <c r="C97" i="10"/>
  <c r="C99" i="10" s="1"/>
  <c r="C102" i="10" s="1"/>
  <c r="D17" i="35" s="1"/>
  <c r="F17" i="35" s="1"/>
  <c r="C12" i="41"/>
  <c r="E12" i="41" s="1"/>
  <c r="F12" i="41" s="1"/>
  <c r="K8" i="41" s="1"/>
  <c r="E10" i="15"/>
  <c r="H10" i="15" s="1"/>
  <c r="C22" i="7"/>
  <c r="D8" i="43"/>
  <c r="F8" i="43" s="1"/>
  <c r="D10" i="43"/>
  <c r="F10" i="43" s="1"/>
  <c r="E6" i="15"/>
  <c r="H6" i="15" s="1"/>
  <c r="D7" i="43"/>
  <c r="F7" i="43" s="1"/>
  <c r="D11" i="35"/>
  <c r="F11" i="35" s="1"/>
  <c r="C51" i="10"/>
  <c r="C15" i="43"/>
  <c r="F15" i="43" s="1"/>
  <c r="D21" i="32"/>
  <c r="F21" i="32" s="1"/>
  <c r="G21" i="32" s="1"/>
  <c r="D10" i="13"/>
  <c r="M15" i="15"/>
  <c r="C14" i="42"/>
  <c r="D10" i="9" l="1"/>
  <c r="D11" i="32" s="1"/>
  <c r="F11" i="32" s="1"/>
  <c r="G11" i="32" s="1"/>
  <c r="C95" i="10"/>
  <c r="D6" i="9"/>
  <c r="D7" i="32" s="1"/>
  <c r="F7" i="32" s="1"/>
  <c r="G7" i="32" s="1"/>
  <c r="D11" i="13"/>
  <c r="C11" i="13"/>
  <c r="H11" i="13" s="1"/>
  <c r="J11" i="13" s="1"/>
  <c r="D57" i="43"/>
  <c r="F57" i="43" s="1"/>
  <c r="D9" i="13"/>
  <c r="F69" i="43"/>
  <c r="C9" i="13"/>
  <c r="H9" i="13" s="1"/>
  <c r="J9" i="13" s="1"/>
  <c r="F64" i="43"/>
  <c r="B33" i="39"/>
  <c r="C18" i="43" s="1"/>
  <c r="C81" i="10"/>
  <c r="C83" i="10" s="1"/>
  <c r="C86" i="10" s="1"/>
  <c r="D15" i="35" s="1"/>
  <c r="F15" i="35" s="1"/>
  <c r="C20" i="43"/>
  <c r="F20" i="43" s="1"/>
  <c r="F16" i="43"/>
  <c r="C11" i="9"/>
  <c r="C12" i="9" s="1"/>
  <c r="D12" i="9" s="1"/>
  <c r="D5" i="9"/>
  <c r="D12" i="43"/>
  <c r="F11" i="43"/>
  <c r="C13" i="7"/>
  <c r="C36" i="10"/>
  <c r="C10" i="13"/>
  <c r="H10" i="13" s="1"/>
  <c r="J10" i="13" s="1"/>
  <c r="D59" i="43"/>
  <c r="F59" i="43" s="1"/>
  <c r="C20" i="7"/>
  <c r="C10" i="10" s="1"/>
  <c r="C12" i="10" s="1"/>
  <c r="E5" i="15" s="1"/>
  <c r="H5" i="15" s="1"/>
  <c r="H7" i="15" s="1"/>
  <c r="H8" i="15" s="1"/>
  <c r="C103" i="10"/>
  <c r="C23" i="7"/>
  <c r="C21" i="9"/>
  <c r="D21" i="9" s="1"/>
  <c r="D22" i="9" s="1"/>
  <c r="D16" i="32" s="1"/>
  <c r="F16" i="32" s="1"/>
  <c r="G16" i="32" s="1"/>
  <c r="C18" i="42"/>
  <c r="E14" i="42"/>
  <c r="E18" i="42" s="1"/>
  <c r="E20" i="42" s="1"/>
  <c r="D12" i="13" l="1"/>
  <c r="D8" i="13"/>
  <c r="D7" i="35"/>
  <c r="F7" i="35" s="1"/>
  <c r="D60" i="43"/>
  <c r="F60" i="43" s="1"/>
  <c r="C53" i="10"/>
  <c r="C55" i="10" s="1"/>
  <c r="C57" i="10" s="1"/>
  <c r="C60" i="10" s="1"/>
  <c r="D12" i="35" s="1"/>
  <c r="F12" i="35" s="1"/>
  <c r="C21" i="43"/>
  <c r="D21" i="43" s="1"/>
  <c r="F21" i="43" s="1"/>
  <c r="E6" i="41"/>
  <c r="F6" i="41" s="1"/>
  <c r="D11" i="9"/>
  <c r="C12" i="43"/>
  <c r="F12" i="43" s="1"/>
  <c r="C39" i="10"/>
  <c r="I16" i="39"/>
  <c r="C42" i="10"/>
  <c r="D10" i="35" s="1"/>
  <c r="F10" i="35" s="1"/>
  <c r="D7" i="13"/>
  <c r="D6" i="32"/>
  <c r="F6" i="32" s="1"/>
  <c r="G6" i="32" s="1"/>
  <c r="C19" i="43"/>
  <c r="F18" i="43"/>
  <c r="C15" i="10"/>
  <c r="C17" i="10" s="1"/>
  <c r="E9" i="15" s="1"/>
  <c r="H9" i="15" s="1"/>
  <c r="C7" i="42" s="1"/>
  <c r="E7" i="42" s="1"/>
  <c r="C15" i="9"/>
  <c r="C22" i="9"/>
  <c r="C14" i="13" s="1"/>
  <c r="D14" i="13"/>
  <c r="C23" i="43"/>
  <c r="C24" i="43" s="1"/>
  <c r="F24" i="43" s="1"/>
  <c r="E7" i="41"/>
  <c r="C18" i="9"/>
  <c r="B28" i="39"/>
  <c r="C17" i="43" s="1"/>
  <c r="F17" i="43" s="1"/>
  <c r="M11" i="15"/>
  <c r="C87" i="10"/>
  <c r="M12" i="15" l="1"/>
  <c r="D14" i="35"/>
  <c r="F14" i="35" s="1"/>
  <c r="C61" i="10"/>
  <c r="D8" i="35"/>
  <c r="F8" i="35" s="1"/>
  <c r="C43" i="10"/>
  <c r="F7" i="41"/>
  <c r="K7" i="41" s="1"/>
  <c r="E16" i="41"/>
  <c r="D18" i="9"/>
  <c r="D20" i="9" s="1"/>
  <c r="C20" i="9"/>
  <c r="C13" i="13" s="1"/>
  <c r="H13" i="13" s="1"/>
  <c r="J13" i="13" s="1"/>
  <c r="J16" i="13" s="1"/>
  <c r="E18" i="15" s="1"/>
  <c r="H18" i="15" s="1"/>
  <c r="D15" i="9"/>
  <c r="D17" i="9" s="1"/>
  <c r="D15" i="13" s="1"/>
  <c r="C17" i="9"/>
  <c r="C22" i="43"/>
  <c r="D22" i="43" s="1"/>
  <c r="F22" i="43" s="1"/>
  <c r="F25" i="43" s="1"/>
  <c r="F27" i="43" s="1"/>
  <c r="F28" i="43" l="1"/>
  <c r="D47" i="43" s="1"/>
  <c r="F47" i="43" s="1"/>
  <c r="D46" i="43"/>
  <c r="F46" i="43" s="1"/>
  <c r="C15" i="13"/>
  <c r="C63" i="10"/>
  <c r="C65" i="10" s="1"/>
  <c r="C67" i="10" s="1"/>
  <c r="C70" i="10" s="1"/>
  <c r="D13" i="35" s="1"/>
  <c r="F13" i="35" s="1"/>
  <c r="F21" i="35" s="1"/>
  <c r="F34" i="35" s="1"/>
  <c r="E19" i="41"/>
  <c r="D12" i="32" s="1"/>
  <c r="F12" i="32" s="1"/>
  <c r="G12" i="32" s="1"/>
  <c r="F16" i="41"/>
  <c r="C8" i="42"/>
  <c r="E8" i="42" s="1"/>
  <c r="H21" i="15"/>
  <c r="D15" i="32"/>
  <c r="F15" i="32" s="1"/>
  <c r="G15" i="32" s="1"/>
  <c r="D13" i="13"/>
  <c r="F63" i="43" l="1"/>
  <c r="D49" i="43"/>
  <c r="F49" i="43" s="1"/>
  <c r="D50" i="43"/>
  <c r="F62" i="43"/>
  <c r="F22" i="35"/>
  <c r="F35" i="35" s="1"/>
  <c r="K9" i="41"/>
  <c r="F19" i="41"/>
  <c r="C71" i="10"/>
  <c r="G17" i="32"/>
  <c r="G22" i="32" s="1"/>
  <c r="G23" i="32" s="1"/>
  <c r="G25" i="32" s="1"/>
  <c r="C6" i="42"/>
  <c r="H22" i="15"/>
  <c r="M13" i="15"/>
  <c r="F65" i="43" l="1"/>
  <c r="D51" i="43"/>
  <c r="F51" i="43" s="1"/>
  <c r="F50" i="43"/>
  <c r="E6" i="42"/>
  <c r="E9" i="42" s="1"/>
  <c r="C9" i="42"/>
  <c r="E11" i="42" l="1"/>
  <c r="F67" i="43"/>
  <c r="D52" i="43"/>
  <c r="F52" i="43" s="1"/>
  <c r="F66" i="43"/>
  <c r="F68" i="43" l="1"/>
  <c r="F70"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ARGILES HERRERO, Rafael</author>
  </authors>
  <commentList>
    <comment ref="I6" authorId="0" shapeId="0" xr:uid="{00000000-0006-0000-0400-000001000000}">
      <text>
        <r>
          <rPr>
            <sz val="9"/>
            <color indexed="81"/>
            <rFont val="Tahoma"/>
            <family val="2"/>
          </rPr>
          <t>This value is calculated based on the data from Briegel (Physiological bases of mosquito ecology-graph on the right). The larval survival depends on the tray depth, so the calculation takes into account the depth of the tray selected in down in the 'equipment parameters'</t>
        </r>
      </text>
    </comment>
    <comment ref="I16" authorId="0" shapeId="0" xr:uid="{00000000-0006-0000-0400-000002000000}">
      <text>
        <r>
          <rPr>
            <sz val="9"/>
            <color indexed="81"/>
            <rFont val="Tahoma"/>
            <family val="2"/>
          </rPr>
          <t>this average calculation takes into consideration the number of gonotrophic cyles (down) that the cages will be kept.</t>
        </r>
      </text>
    </comment>
    <comment ref="I17" authorId="0" shapeId="0" xr:uid="{00000000-0006-0000-0400-000003000000}">
      <text>
        <r>
          <rPr>
            <sz val="9"/>
            <color indexed="81"/>
            <rFont val="Tahoma"/>
            <family val="2"/>
          </rPr>
          <t xml:space="preserve">3 days until they become receptive for mating, 1 day for mating, 1 day for first blood intake, 3 days to maturate the eggs
</t>
        </r>
      </text>
    </comment>
    <comment ref="I36" authorId="0" shapeId="0" xr:uid="{00000000-0006-0000-0400-000004000000}">
      <text>
        <r>
          <rPr>
            <sz val="9"/>
            <color indexed="81"/>
            <rFont val="Tahoma"/>
            <family val="2"/>
          </rPr>
          <t>the adult holding capacity of the cages has been calculated based on the vertical resting place and the dimensions of the cage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ARGILES HERRERO, Rafael</author>
  </authors>
  <commentList>
    <comment ref="C21" authorId="0" shapeId="0" xr:uid="{00000000-0006-0000-0A00-000001000000}">
      <text>
        <r>
          <rPr>
            <sz val="9"/>
            <color indexed="81"/>
            <rFont val="Tahoma"/>
            <family val="2"/>
          </rPr>
          <t xml:space="preserve">This oversizingfactor is very high because it is very common to have to keep the males longer than the regular maturation time due to postponement of releases because of bad weather.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ARGILES HERRERO, Rafael</author>
  </authors>
  <commentList>
    <comment ref="F20" authorId="0" shapeId="0" xr:uid="{00000000-0006-0000-0D00-000001000000}">
      <text>
        <r>
          <rPr>
            <sz val="9"/>
            <color indexed="81"/>
            <rFont val="Tahoma"/>
            <family val="2"/>
          </rPr>
          <t>check local regulations</t>
        </r>
      </text>
    </comment>
    <comment ref="H27" authorId="0" shapeId="0" xr:uid="{00000000-0006-0000-0D00-000002000000}">
      <text>
        <r>
          <rPr>
            <sz val="9"/>
            <color indexed="81"/>
            <rFont val="Tahoma"/>
            <family val="2"/>
          </rPr>
          <t>This is a lab for operational QC, not for research. To be checked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ARGILES HERRERO, Rafael</author>
  </authors>
  <commentList>
    <comment ref="D7" authorId="0" shapeId="0" xr:uid="{00000000-0006-0000-0E00-000001000000}">
      <text>
        <r>
          <rPr>
            <b/>
            <sz val="9"/>
            <color indexed="10"/>
            <rFont val="Tahoma"/>
            <family val="2"/>
          </rPr>
          <t>Should include the air conditioning, with 5 air renovations per hour</t>
        </r>
      </text>
    </comment>
  </commentList>
</comments>
</file>

<file path=xl/sharedStrings.xml><?xml version="1.0" encoding="utf-8"?>
<sst xmlns="http://schemas.openxmlformats.org/spreadsheetml/2006/main" count="559" uniqueCount="383">
  <si>
    <t>Total</t>
  </si>
  <si>
    <t>TOTAL</t>
  </si>
  <si>
    <t>Daily</t>
  </si>
  <si>
    <t xml:space="preserve"> </t>
  </si>
  <si>
    <t>Unit 
number</t>
  </si>
  <si>
    <t>Weekly</t>
  </si>
  <si>
    <t>Rooms</t>
  </si>
  <si>
    <t>Kg Unit</t>
  </si>
  <si>
    <t>Daily 
(kg)</t>
  </si>
  <si>
    <t>Weekly
 (kg)</t>
  </si>
  <si>
    <t>Storage time
(days)</t>
  </si>
  <si>
    <t>Relative humidity</t>
  </si>
  <si>
    <t>Rearing Efficiency</t>
  </si>
  <si>
    <t>Expected working life</t>
  </si>
  <si>
    <t xml:space="preserve">Temperature °C </t>
  </si>
  <si>
    <t>Larval area</t>
  </si>
  <si>
    <t>Loading deck</t>
  </si>
  <si>
    <t>Administration area</t>
  </si>
  <si>
    <t>Production area</t>
  </si>
  <si>
    <t>Workshop area</t>
  </si>
  <si>
    <t>Washing and cleanup area</t>
  </si>
  <si>
    <t>Tuna meal</t>
  </si>
  <si>
    <t xml:space="preserve">QC Lab </t>
  </si>
  <si>
    <t>Calculations for diet ingredient requirements and storage area</t>
  </si>
  <si>
    <t>NA</t>
  </si>
  <si>
    <t>Number of irradiation operations per day</t>
  </si>
  <si>
    <t>Survival pupae to flying males</t>
  </si>
  <si>
    <t>Survival pupae to flying females</t>
  </si>
  <si>
    <t>26,5 - 27,5</t>
  </si>
  <si>
    <t>29,5 - 30,5</t>
  </si>
  <si>
    <t>24,5 - 25,5</t>
  </si>
  <si>
    <t>25 - 26</t>
  </si>
  <si>
    <t>70 - 80</t>
  </si>
  <si>
    <t>Sugar</t>
  </si>
  <si>
    <t>Blood</t>
  </si>
  <si>
    <t>Workload</t>
  </si>
  <si>
    <t>Tray washing</t>
  </si>
  <si>
    <t>Number of larval trays / rack (Colony)</t>
  </si>
  <si>
    <t>Weight of sugar / cage unit (Male Only)</t>
  </si>
  <si>
    <t>Weight of sugar / cage unit (Colony)</t>
  </si>
  <si>
    <t>Volume of water / cage unit (Male Only)</t>
  </si>
  <si>
    <t>Volume of water / cage unit (Colony)</t>
  </si>
  <si>
    <t xml:space="preserve">Water </t>
  </si>
  <si>
    <t xml:space="preserve">Sugar </t>
  </si>
  <si>
    <t>Composition:</t>
  </si>
  <si>
    <t>Dosage</t>
  </si>
  <si>
    <t xml:space="preserve">Larval trays </t>
  </si>
  <si>
    <t xml:space="preserve">Total number of larvae trays required </t>
  </si>
  <si>
    <t xml:space="preserve">Racks for larval trays </t>
  </si>
  <si>
    <t>Total number of racks required</t>
  </si>
  <si>
    <t>Number of trays to be washed per day</t>
  </si>
  <si>
    <t xml:space="preserve">Blood </t>
  </si>
  <si>
    <t>Room Capacity</t>
  </si>
  <si>
    <t>Pre-oviposition + Oviposition</t>
  </si>
  <si>
    <t>Larval trays</t>
  </si>
  <si>
    <t>Item</t>
  </si>
  <si>
    <t>Workshop equipment</t>
  </si>
  <si>
    <t>Larval feeding regime</t>
  </si>
  <si>
    <t>Beef liver powder</t>
  </si>
  <si>
    <t>Water (including the initial load of trays)</t>
  </si>
  <si>
    <t>Water (to be loaded into the trays at the begining and for feeding larvae and adults)</t>
  </si>
  <si>
    <t>Larval diet mixer</t>
  </si>
  <si>
    <t>Adult diet mixer</t>
  </si>
  <si>
    <t>Irradiator</t>
  </si>
  <si>
    <t>Volume of diet to be prepared per day</t>
  </si>
  <si>
    <t>Capacity</t>
  </si>
  <si>
    <t>Duration of one batch</t>
  </si>
  <si>
    <t>Adult area</t>
  </si>
  <si>
    <t>Holding time</t>
  </si>
  <si>
    <t xml:space="preserve">Larval diet </t>
  </si>
  <si>
    <t>Unit Cost</t>
  </si>
  <si>
    <t>Yearly cost</t>
  </si>
  <si>
    <t>Path followed by eggs</t>
  </si>
  <si>
    <t>Path followed by larvae</t>
  </si>
  <si>
    <t>Path followed by pupae</t>
  </si>
  <si>
    <t>Path followed by adults</t>
  </si>
  <si>
    <t>LEGEND</t>
  </si>
  <si>
    <t>03 Production parameters</t>
  </si>
  <si>
    <t>Number of cage units required for male holding to be loaded every day</t>
  </si>
  <si>
    <t>Total number of cages permanently in use in the adults room (Preoviposition+Oviposition)</t>
  </si>
  <si>
    <t>Larval diet</t>
  </si>
  <si>
    <t xml:space="preserve">Adult diet </t>
  </si>
  <si>
    <t>Available stocking height (m)</t>
  </si>
  <si>
    <t xml:space="preserve">Oversize factor </t>
  </si>
  <si>
    <t>M-O release cages</t>
  </si>
  <si>
    <t>Diet preparation</t>
  </si>
  <si>
    <t>Warehouse</t>
  </si>
  <si>
    <t>Storage of ingredients</t>
  </si>
  <si>
    <t>Corridors</t>
  </si>
  <si>
    <t>Common area</t>
  </si>
  <si>
    <t>Offices</t>
  </si>
  <si>
    <t>Adults room</t>
  </si>
  <si>
    <t>Chilling room</t>
  </si>
  <si>
    <t>WC</t>
  </si>
  <si>
    <t>Water treatment, back-up power generator, electricity rooms, … have not been considered</t>
  </si>
  <si>
    <t>Blood feeders</t>
  </si>
  <si>
    <t>QC lab</t>
  </si>
  <si>
    <t>Unit 
Price €</t>
  </si>
  <si>
    <t>Total 
cost €</t>
  </si>
  <si>
    <t>Total number of cages permanently in use in the emergence center</t>
  </si>
  <si>
    <t>Irradiation room</t>
  </si>
  <si>
    <t>duration</t>
  </si>
  <si>
    <t>Subtotal</t>
  </si>
  <si>
    <t>Quantity</t>
  </si>
  <si>
    <t>Egg hatching rate</t>
  </si>
  <si>
    <t>Duration of males holding before release</t>
  </si>
  <si>
    <t>Number of pupae to be loaded in M-O cages at the release center</t>
  </si>
  <si>
    <t>04 Release facility</t>
  </si>
  <si>
    <t>Weekly pupal production level for release</t>
  </si>
  <si>
    <t>Weekly production of flying males for release</t>
  </si>
  <si>
    <t>05 Mass rearing facility</t>
  </si>
  <si>
    <t>male pupae</t>
  </si>
  <si>
    <t>female pupae</t>
  </si>
  <si>
    <t>after first sorting</t>
  </si>
  <si>
    <t>after second sorting</t>
  </si>
  <si>
    <t>after third sorting</t>
  </si>
  <si>
    <t>Total number of trays permanently in use in the larval rooms</t>
  </si>
  <si>
    <t>Duration of one irradiation operation</t>
  </si>
  <si>
    <t>Adult area (Colony)</t>
  </si>
  <si>
    <t>Cage washing and drying</t>
  </si>
  <si>
    <t xml:space="preserve">Mass rearing facility
</t>
  </si>
  <si>
    <t xml:space="preserve">Release facility
</t>
  </si>
  <si>
    <t>Number of weeks with releases per year</t>
  </si>
  <si>
    <t>Colony+MO</t>
  </si>
  <si>
    <t>Adult Diet</t>
  </si>
  <si>
    <t>daily operations in colony production</t>
  </si>
  <si>
    <t>other consumables</t>
  </si>
  <si>
    <t>Radiation dosimeters</t>
  </si>
  <si>
    <t>Consumables without inventoring (lab consumables, fluorescent dye, ec)</t>
  </si>
  <si>
    <t>Yearly cost of consumables</t>
  </si>
  <si>
    <t>yearly depreciation of equipment</t>
  </si>
  <si>
    <t xml:space="preserve">Sex ratio for Colony (Male:Female) </t>
  </si>
  <si>
    <t>Vertical resting place for adults in colony cages</t>
  </si>
  <si>
    <t>Vertical net in colony cages</t>
  </si>
  <si>
    <t>Number of male adults in M-O cages at the release center</t>
  </si>
  <si>
    <t>Vertical resting place for adults in MO cages</t>
  </si>
  <si>
    <t>Vertical net in MO cages</t>
  </si>
  <si>
    <t>Number of adults in colony cages</t>
  </si>
  <si>
    <t>Number of females in colony cages</t>
  </si>
  <si>
    <t>Density of larvae in the colony larval trays</t>
  </si>
  <si>
    <t>Dimensions of colony larval tray</t>
  </si>
  <si>
    <t>overall pupae recovery
 after three sortings</t>
  </si>
  <si>
    <t>Ration per one larva on day 1</t>
  </si>
  <si>
    <t>Ration per one larva on day 2</t>
  </si>
  <si>
    <t>Ration per one larva on day 3</t>
  </si>
  <si>
    <t>Ration per one larva on day 4</t>
  </si>
  <si>
    <t>Ration per one larva on day 5</t>
  </si>
  <si>
    <t>Ration per one larva on day 6 and after</t>
  </si>
  <si>
    <t>Brewer yeast</t>
  </si>
  <si>
    <t>Number of L1 to be seeded per larval tray (Colony)</t>
  </si>
  <si>
    <t>adult cages</t>
  </si>
  <si>
    <t>Height of tray columns</t>
  </si>
  <si>
    <t>Free space between trays</t>
  </si>
  <si>
    <t>28 in water</t>
  </si>
  <si>
    <t xml:space="preserve">Number of female pupae per colony cage </t>
  </si>
  <si>
    <t>Ingredients required for larval diet</t>
  </si>
  <si>
    <t>Blood feeding</t>
  </si>
  <si>
    <t>MO</t>
  </si>
  <si>
    <t>colony</t>
  </si>
  <si>
    <t>Concentration in water</t>
  </si>
  <si>
    <t>Number of batches per day</t>
  </si>
  <si>
    <t>Frequency of  Colony cage washing</t>
  </si>
  <si>
    <t>Frequency of  MO cage washing</t>
  </si>
  <si>
    <t>Days until the first egg-laying</t>
  </si>
  <si>
    <t>Duration of gonotrophic cycle</t>
  </si>
  <si>
    <t>Duration of oviposition period (Colony cages)</t>
  </si>
  <si>
    <t>Average number of eggs per female for the first gonotrophic cycle</t>
  </si>
  <si>
    <t>Average number of eggs per female for the second gonotrophic cycle</t>
  </si>
  <si>
    <t>Average number of eggs per female for the third gonotrophic cycle</t>
  </si>
  <si>
    <t>Target number of male pupae per week</t>
  </si>
  <si>
    <t>Larval development</t>
  </si>
  <si>
    <t>mass rearing facility</t>
  </si>
  <si>
    <t>adults</t>
  </si>
  <si>
    <t>larvae</t>
  </si>
  <si>
    <t>common</t>
  </si>
  <si>
    <t>release facility</t>
  </si>
  <si>
    <t>males handling</t>
  </si>
  <si>
    <t>Larval diet solution</t>
  </si>
  <si>
    <t>Number of pupae (males+females) to be sexed per day</t>
  </si>
  <si>
    <t>Number of cages to be washed per day</t>
  </si>
  <si>
    <t>Cage washing machine in mass rearing facility</t>
  </si>
  <si>
    <t>Tray washing machine in mass rearing facility</t>
  </si>
  <si>
    <t>Cage washing machine in release facility</t>
  </si>
  <si>
    <t>Number of cages to be fed per day</t>
  </si>
  <si>
    <t>Male handling facility</t>
  </si>
  <si>
    <t>Mass rearing facility</t>
  </si>
  <si>
    <t>subtotal</t>
  </si>
  <si>
    <t>daily operations in male handling</t>
  </si>
  <si>
    <t>Blood for colony females per cage per feeding day</t>
  </si>
  <si>
    <t>Oversize factor  (corridors, etc.)</t>
  </si>
  <si>
    <t>Rearing tasks schedule</t>
  </si>
  <si>
    <t>Number of gonotrophic cycles before discarding Colony cages</t>
  </si>
  <si>
    <t>depth</t>
  </si>
  <si>
    <t>survival</t>
  </si>
  <si>
    <t>Average ovipositing rate during oviposition period (colony cages)</t>
  </si>
  <si>
    <t>Frequency of egg collection (during oviposition period)</t>
  </si>
  <si>
    <t>Component 5</t>
  </si>
  <si>
    <t>Component 6</t>
  </si>
  <si>
    <t>Tray loading (working area)</t>
  </si>
  <si>
    <t>Larval - pupal sorting (working area)</t>
  </si>
  <si>
    <t>Pupal sex sorting (working area)</t>
  </si>
  <si>
    <t>Cage loading (working area)</t>
  </si>
  <si>
    <t>Adults packaging for release (working area)</t>
  </si>
  <si>
    <t>Diet preparation (working area)</t>
  </si>
  <si>
    <t>Larval diet feeder</t>
  </si>
  <si>
    <t>Number of trays to be fed per day</t>
  </si>
  <si>
    <t>Number of units</t>
  </si>
  <si>
    <t>Workload per equipment unit</t>
  </si>
  <si>
    <t>Maximum time available for the task</t>
  </si>
  <si>
    <t>Number of trays to be seeded per day</t>
  </si>
  <si>
    <t>BSF</t>
  </si>
  <si>
    <t>BSF yeast</t>
  </si>
  <si>
    <t>Weight of larval diet ingredients added per tray on day 1</t>
  </si>
  <si>
    <t>Weight of larval diet ingredients added per tray on day 2</t>
  </si>
  <si>
    <t>Weight of larval diet ingredients added per tray on day 3</t>
  </si>
  <si>
    <t>Weight of larval diet ingredients added per tray on day 4</t>
  </si>
  <si>
    <t>Weight of larval diet ingredients added per tray on day 5</t>
  </si>
  <si>
    <t>Weight of larval diet ingredients added per tray on day 6</t>
  </si>
  <si>
    <t>Weight of larval diet ingredients added per tray on day 7 (after 1st sorting)</t>
  </si>
  <si>
    <t>Weight of larval diet ingredients added per tray on day 8 (after 2nd sorting)</t>
  </si>
  <si>
    <t>BSF powder</t>
  </si>
  <si>
    <t>Number of male pupae to be produced per day</t>
  </si>
  <si>
    <t xml:space="preserve">Eggs to be hatched per week </t>
  </si>
  <si>
    <t>Eggs to be hatched per day</t>
  </si>
  <si>
    <t>Number of larval trays to be loaded with L1 per day</t>
  </si>
  <si>
    <t>Number of  females to be replaced everyday</t>
  </si>
  <si>
    <t>Number of colony cages to be loaded per day</t>
  </si>
  <si>
    <t>Volume of blood per casing</t>
  </si>
  <si>
    <t>Survival L1 to pupae</t>
  </si>
  <si>
    <t>Total number trays permanently in use in the larval room</t>
  </si>
  <si>
    <t>Duration of cages (preoviposition + oviposition)</t>
  </si>
  <si>
    <t>Total number of cages permanently in use for egg production (Preoviposition+Oviposition)</t>
  </si>
  <si>
    <t>Oviposition cages permanently in use for egg production</t>
  </si>
  <si>
    <t>Pre-oviposition cages permanently in use for egg production</t>
  </si>
  <si>
    <t>Total number of racks permanently in use in the larval room</t>
  </si>
  <si>
    <t xml:space="preserve">Ingredients required for Adults Colony </t>
  </si>
  <si>
    <t>06 Diet formulation</t>
  </si>
  <si>
    <t>Duration of the larval cycle until first day of pupation</t>
  </si>
  <si>
    <t xml:space="preserve">Frequency of blood feeding </t>
  </si>
  <si>
    <t>Replenishment of water in adult cages</t>
  </si>
  <si>
    <t>Sex sorter</t>
  </si>
  <si>
    <t>Total number of colony cages required</t>
  </si>
  <si>
    <t>Total number of cages permanently in use in the Male Only room</t>
  </si>
  <si>
    <t>Adults cold room</t>
  </si>
  <si>
    <t xml:space="preserve"> 6 - 8</t>
  </si>
  <si>
    <t>11 Water requirements</t>
  </si>
  <si>
    <t>Water for larval trays initial loading</t>
  </si>
  <si>
    <t>Water for larval trays feeding solution</t>
  </si>
  <si>
    <t>Water for adults colony cages</t>
  </si>
  <si>
    <t>Water for adults male only cages</t>
  </si>
  <si>
    <t>Water for equipment washing</t>
  </si>
  <si>
    <t>Trays wahing</t>
  </si>
  <si>
    <t>Colony cage washing</t>
  </si>
  <si>
    <t>Male only cage washing</t>
  </si>
  <si>
    <t>Water for room cleaning and others</t>
  </si>
  <si>
    <t>% of above requirements</t>
  </si>
  <si>
    <t>Total water requirements</t>
  </si>
  <si>
    <t>Biological parameters</t>
  </si>
  <si>
    <t>Life cycle
 information (days)</t>
  </si>
  <si>
    <t>Pupation dynamics</t>
  </si>
  <si>
    <t>07 Diet requirements</t>
  </si>
  <si>
    <t>Backup equipment</t>
  </si>
  <si>
    <t>yes</t>
  </si>
  <si>
    <t>no</t>
  </si>
  <si>
    <t>Other Equipment</t>
  </si>
  <si>
    <t>equipment washing</t>
  </si>
  <si>
    <t>room cleaning</t>
  </si>
  <si>
    <t xml:space="preserve">Water for rearing </t>
  </si>
  <si>
    <t>rearing</t>
  </si>
  <si>
    <t>Equipment for basic QC lab</t>
  </si>
  <si>
    <t>Blood storage (freezers…)</t>
  </si>
  <si>
    <t>Mass Rearing Facility</t>
  </si>
  <si>
    <t>Release Facility</t>
  </si>
  <si>
    <t>Disclaimer:</t>
  </si>
  <si>
    <t>yearly depreciation of emergence facility</t>
  </si>
  <si>
    <t>expected lifespan</t>
  </si>
  <si>
    <t>Rearing rooms</t>
  </si>
  <si>
    <t xml:space="preserve">Total cost </t>
  </si>
  <si>
    <t xml:space="preserve">Unit Cost </t>
  </si>
  <si>
    <t>Room area</t>
  </si>
  <si>
    <t>yearly depreciation of mass rearing facility</t>
  </si>
  <si>
    <t xml:space="preserve">The construction costs will largely vary across countries. The unit costs of the rearing rooms must include the cost of climatisation. The construction costs does not include the purchase of the terrain for building. 
</t>
  </si>
  <si>
    <t>Office, labs, WC, irradiation room, corridors</t>
  </si>
  <si>
    <t>Storage, warehouse</t>
  </si>
  <si>
    <t xml:space="preserve">Office, labs, WC, irradiation room, corridors, </t>
  </si>
  <si>
    <t>Work rates</t>
  </si>
  <si>
    <t>Egg hatching</t>
  </si>
  <si>
    <t>Hanging trays in the racks</t>
  </si>
  <si>
    <t>L1 dosage in larval trays</t>
  </si>
  <si>
    <t>Irradiation</t>
  </si>
  <si>
    <t>Cage washing</t>
  </si>
  <si>
    <t>Larval diet preparation</t>
  </si>
  <si>
    <t>Adult diet preparation</t>
  </si>
  <si>
    <t>Blood collection</t>
  </si>
  <si>
    <t>Blood doses preparation</t>
  </si>
  <si>
    <t>Subtotal mass rearing</t>
  </si>
  <si>
    <t>net working time per staff per day</t>
  </si>
  <si>
    <t>staff needed every day</t>
  </si>
  <si>
    <t>team leaders</t>
  </si>
  <si>
    <t>Cage loading (MO)</t>
  </si>
  <si>
    <t>Cage chilling</t>
  </si>
  <si>
    <t>Adult collection</t>
  </si>
  <si>
    <t>Adult packing for releases</t>
  </si>
  <si>
    <t>12 Floor area calculations</t>
  </si>
  <si>
    <t>Subtotal male handling</t>
  </si>
  <si>
    <t>source: Briegel (Physiological bases of mosquito ecology-graph on the right)</t>
  </si>
  <si>
    <t>13 Construction costs</t>
  </si>
  <si>
    <t>Density</t>
  </si>
  <si>
    <t>Eggs density</t>
  </si>
  <si>
    <t>Pupae density</t>
  </si>
  <si>
    <t xml:space="preserve">Tray tilting </t>
  </si>
  <si>
    <t xml:space="preserve">Pupae sex sorting </t>
  </si>
  <si>
    <t>Larval feeding</t>
  </si>
  <si>
    <t xml:space="preserve">Egg storage </t>
  </si>
  <si>
    <t xml:space="preserve">Egg collection </t>
  </si>
  <si>
    <t>14 Workload</t>
  </si>
  <si>
    <t>Packing insects for irradiation</t>
  </si>
  <si>
    <t>Number of insects to be irradiated per day</t>
  </si>
  <si>
    <t>Number of insects per irradiation operation (Male Only)</t>
  </si>
  <si>
    <t xml:space="preserve">L1 counter </t>
  </si>
  <si>
    <t>Release facility</t>
  </si>
  <si>
    <t>Number of colony cages to be blood-fed per day</t>
  </si>
  <si>
    <t>Colony cage loading</t>
  </si>
  <si>
    <t>Colony cage blood feeding</t>
  </si>
  <si>
    <t xml:space="preserve">Overall male recovery </t>
  </si>
  <si>
    <t>Capacity of main equipment</t>
  </si>
  <si>
    <t>Average Blood dose necessary per female per feed</t>
  </si>
  <si>
    <t>Water for adult colony</t>
  </si>
  <si>
    <t>Water for release males</t>
  </si>
  <si>
    <t>total water</t>
  </si>
  <si>
    <t>Sugar for adult colony</t>
  </si>
  <si>
    <t>Sugar for release males</t>
  </si>
  <si>
    <t>total sugar</t>
  </si>
  <si>
    <t>total blood</t>
  </si>
  <si>
    <t>Cages for Release Males</t>
  </si>
  <si>
    <t>Cages for Colonies</t>
  </si>
  <si>
    <t>16 Diet costs and consumables</t>
  </si>
  <si>
    <t>15 Equipment budget</t>
  </si>
  <si>
    <t>Workshop</t>
  </si>
  <si>
    <t>Total cost of other consumables</t>
  </si>
  <si>
    <t xml:space="preserve">Total diet cost </t>
  </si>
  <si>
    <t xml:space="preserve">The workload for each of these tasks will largely depend on the automation of the different processes in each facility.
</t>
  </si>
  <si>
    <r>
      <t>Unit
footprint m</t>
    </r>
    <r>
      <rPr>
        <i/>
        <vertAlign val="superscript"/>
        <sz val="10"/>
        <rFont val="Arial"/>
        <family val="2"/>
      </rPr>
      <t>2</t>
    </r>
  </si>
  <si>
    <r>
      <t>Room
area m</t>
    </r>
    <r>
      <rPr>
        <i/>
        <vertAlign val="superscript"/>
        <sz val="10"/>
        <rFont val="Arial"/>
        <family val="2"/>
      </rPr>
      <t>2</t>
    </r>
    <r>
      <rPr>
        <i/>
        <sz val="10"/>
        <rFont val="Arial"/>
        <family val="2"/>
      </rPr>
      <t xml:space="preserve"> </t>
    </r>
  </si>
  <si>
    <t>9 Rearing equipment</t>
  </si>
  <si>
    <t>10 Environmental conditions</t>
  </si>
  <si>
    <r>
      <t>Storage
 bags / m</t>
    </r>
    <r>
      <rPr>
        <i/>
        <vertAlign val="superscript"/>
        <sz val="8"/>
        <rFont val="Arial"/>
        <family val="2"/>
      </rPr>
      <t>3</t>
    </r>
  </si>
  <si>
    <r>
      <t>Required volume m</t>
    </r>
    <r>
      <rPr>
        <i/>
        <vertAlign val="superscript"/>
        <sz val="8"/>
        <rFont val="Arial"/>
        <family val="2"/>
      </rPr>
      <t>3</t>
    </r>
  </si>
  <si>
    <r>
      <t>Required Area 
(m</t>
    </r>
    <r>
      <rPr>
        <i/>
        <vertAlign val="superscript"/>
        <sz val="8"/>
        <rFont val="Arial"/>
        <family val="2"/>
      </rPr>
      <t>2</t>
    </r>
    <r>
      <rPr>
        <i/>
        <sz val="8"/>
        <rFont val="Arial"/>
        <family val="2"/>
      </rPr>
      <t>)</t>
    </r>
  </si>
  <si>
    <t>Larval and adult diet ingredient requirements</t>
  </si>
  <si>
    <t>01 Start up parameters and summary</t>
  </si>
  <si>
    <t>02 Mass rearing process</t>
  </si>
  <si>
    <t>08 Storage of diet ingredients</t>
  </si>
  <si>
    <t>Number of feeding rounds per blood membrane</t>
  </si>
  <si>
    <t xml:space="preserve">Number of ovipositing females in the colony </t>
  </si>
  <si>
    <t xml:space="preserve">Number of pre-ovipositing females in the colony </t>
  </si>
  <si>
    <t>Increase factor for the maintenaince of the mother colony</t>
  </si>
  <si>
    <t>Number of larval trays to be loaded after the first sorting</t>
  </si>
  <si>
    <t>Number of larval trays to be loaded after the second sorting</t>
  </si>
  <si>
    <t>Number of tilting/sex sorting operations</t>
  </si>
  <si>
    <t>Number of trays to be loaded every day</t>
  </si>
  <si>
    <t>Number of trays to be sorted every day</t>
  </si>
  <si>
    <t>workload</t>
  </si>
  <si>
    <t>Tray loading with L4 (after sorting)</t>
  </si>
  <si>
    <t>Staff required</t>
  </si>
  <si>
    <t>Per day</t>
  </si>
  <si>
    <t>Majoring factor to ensure 7/365</t>
  </si>
  <si>
    <t>Total number of staff</t>
  </si>
  <si>
    <t>Mass rearing</t>
  </si>
  <si>
    <t>Rearing labourers</t>
  </si>
  <si>
    <t>Team leaders</t>
  </si>
  <si>
    <t>Quality control manager</t>
  </si>
  <si>
    <t>Quality control technician</t>
  </si>
  <si>
    <t>Maintenance manager</t>
  </si>
  <si>
    <t>Maintenance officer</t>
  </si>
  <si>
    <t>Administration</t>
  </si>
  <si>
    <t>Manager</t>
  </si>
  <si>
    <t>Male handling</t>
  </si>
  <si>
    <t>Quality control</t>
  </si>
  <si>
    <t>Maintenance</t>
  </si>
  <si>
    <t>Administration &amp; management</t>
  </si>
  <si>
    <t>total</t>
  </si>
  <si>
    <t>Sexing throughput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</si>
</sst>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7">
    <numFmt numFmtId="43" formatCode="_(* #,##0.00_);_(* \(#,##0.00\);_(* &quot;-&quot;??_);_(@_)"/>
    <numFmt numFmtId="164" formatCode="0.000"/>
    <numFmt numFmtId="165" formatCode="0.0"/>
    <numFmt numFmtId="166" formatCode="_(* #,##0_);_(* \(#,##0\);_(* &quot;-&quot;??_);_(@_)"/>
    <numFmt numFmtId="167" formatCode="#,##0.0"/>
    <numFmt numFmtId="168" formatCode="_-* #,##0.000\ _€_-;\-* #,##0.000\ _€_-;_-* &quot;-&quot;?\ _€_-;_-@_-"/>
    <numFmt numFmtId="169" formatCode="0&quot; cages/day&quot;"/>
    <numFmt numFmtId="170" formatCode="General\ &quot; (Lts) Larvae diet Mixer&quot;"/>
    <numFmt numFmtId="171" formatCode="General\ &quot;(trays/hour) Tray washing machine&quot;"/>
    <numFmt numFmtId="172" formatCode="0.0&quot; days&quot;"/>
    <numFmt numFmtId="173" formatCode="#,##0&quot; pp/MO cage&quot;"/>
    <numFmt numFmtId="174" formatCode="#,##0&quot; pp/colony cage&quot;"/>
    <numFmt numFmtId="175" formatCode="0&quot; trays/rack&quot;"/>
    <numFmt numFmtId="176" formatCode="#,##0.000&quot; kg/cage&quot;"/>
    <numFmt numFmtId="177" formatCode="0&quot; trays/h&quot;"/>
    <numFmt numFmtId="178" formatCode="#,##0&quot; operations/day&quot;"/>
    <numFmt numFmtId="179" formatCode="#,##0&quot; MO cages/day&quot;"/>
    <numFmt numFmtId="180" formatCode="#,##0&quot; MO cages&quot;"/>
    <numFmt numFmtId="181" formatCode="0&quot; cages&quot;"/>
    <numFmt numFmtId="182" formatCode="0.00&quot; M eggs/day&quot;"/>
    <numFmt numFmtId="183" formatCode="0.00&quot;%&quot;"/>
    <numFmt numFmtId="184" formatCode="#,##0&quot; trays/day&quot;"/>
    <numFmt numFmtId="185" formatCode="#,##0&quot; trays&quot;"/>
    <numFmt numFmtId="186" formatCode="#,##0&quot; racks&quot;"/>
    <numFmt numFmtId="187" formatCode="#,##0&quot; racks/day&quot;"/>
    <numFmt numFmtId="188" formatCode="#,##0&quot; cages&quot;"/>
    <numFmt numFmtId="189" formatCode="0.0&quot; kg/day&quot;"/>
    <numFmt numFmtId="190" formatCode="0.0&quot; kg/week&quot;"/>
    <numFmt numFmtId="191" formatCode="0&quot; kg/week&quot;"/>
    <numFmt numFmtId="192" formatCode="0&quot;%&quot;"/>
    <numFmt numFmtId="193" formatCode="#,##0&quot; m2&quot;"/>
    <numFmt numFmtId="194" formatCode="General&quot; years&quot;"/>
    <numFmt numFmtId="195" formatCode="#,##0&quot; units&quot;"/>
    <numFmt numFmtId="196" formatCode="0.00&quot; h/operation&quot;"/>
    <numFmt numFmtId="197" formatCode="0&quot; trays/day&quot;"/>
    <numFmt numFmtId="198" formatCode="#,##0&quot; trays/h&quot;"/>
    <numFmt numFmtId="199" formatCode="#,##0.0&quot; h/day&quot;"/>
    <numFmt numFmtId="200" formatCode="0&quot; days&quot;"/>
    <numFmt numFmtId="201" formatCode="0&quot; staff&quot;"/>
    <numFmt numFmtId="202" formatCode="#,##0&quot; m3/week&quot;"/>
    <numFmt numFmtId="203" formatCode="#,##0&quot; €/year&quot;"/>
    <numFmt numFmtId="204" formatCode="0.00&quot; kg/day&quot;"/>
    <numFmt numFmtId="205" formatCode="&quot;( &quot;#,##0&quot; racks/day)&quot;"/>
    <numFmt numFmtId="206" formatCode="0.0&quot; eggs/female/day&quot;"/>
    <numFmt numFmtId="207" formatCode="#,##0&quot; females&quot;"/>
    <numFmt numFmtId="208" formatCode="0.0&quot; L/day&quot;"/>
    <numFmt numFmtId="209" formatCode="0&quot; L/week&quot;"/>
    <numFmt numFmtId="210" formatCode="#,##0&quot; L/day&quot;"/>
    <numFmt numFmtId="211" formatCode="General&quot; racks&quot;"/>
    <numFmt numFmtId="212" formatCode="General&quot; cages&quot;"/>
    <numFmt numFmtId="213" formatCode="#,##0&quot; €/unit&quot;"/>
    <numFmt numFmtId="214" formatCode="#,##0&quot; €&quot;"/>
    <numFmt numFmtId="215" formatCode="0&quot; €/kg&quot;"/>
    <numFmt numFmtId="216" formatCode="0&quot; €/m3&quot;"/>
    <numFmt numFmtId="217" formatCode="#,##0&quot; €/L&quot;"/>
    <numFmt numFmtId="218" formatCode="0&quot; weeks/year&quot;"/>
    <numFmt numFmtId="219" formatCode="0.0&quot; kg/year&quot;"/>
    <numFmt numFmtId="220" formatCode="0.0&quot; m3/year&quot;"/>
    <numFmt numFmtId="221" formatCode="0.0&quot; L/year&quot;"/>
    <numFmt numFmtId="222" formatCode="0.00&quot; M pp/day&quot;"/>
    <numFmt numFmtId="223" formatCode="#,##0.00&quot; Mpp/week&quot;"/>
    <numFmt numFmtId="224" formatCode="#,##0.00&quot; M adult males/week&quot;"/>
    <numFmt numFmtId="225" formatCode="#,##0.00&quot; M pp/week&quot;"/>
    <numFmt numFmtId="226" formatCode="#,##0.00&quot; M eggs/week&quot;"/>
    <numFmt numFmtId="227" formatCode="0\ &quot;%&quot;"/>
    <numFmt numFmtId="228" formatCode="0&quot; colony cages&quot;"/>
    <numFmt numFmtId="229" formatCode="#,##0&quot; colony cages/day&quot;"/>
    <numFmt numFmtId="230" formatCode="#,##0.0&quot; kg/day&quot;"/>
    <numFmt numFmtId="231" formatCode="#,##0.0&quot; L/day&quot;"/>
    <numFmt numFmtId="232" formatCode="0.00&quot; kg/week&quot;"/>
    <numFmt numFmtId="233" formatCode="0.0&quot; l/week&quot;"/>
    <numFmt numFmtId="234" formatCode="0.0&quot; L/week&quot;"/>
    <numFmt numFmtId="235" formatCode="#,##0&quot; colony cages&quot;"/>
    <numFmt numFmtId="236" formatCode="#,##0.00&quot; €&quot;"/>
    <numFmt numFmtId="237" formatCode="#,##0.0&quot; €/unit&quot;"/>
    <numFmt numFmtId="238" formatCode="0&quot; units/week&quot;"/>
    <numFmt numFmtId="239" formatCode="#,##0&quot; units/year&quot;"/>
    <numFmt numFmtId="240" formatCode="#,##0&quot; weeks&quot;"/>
    <numFmt numFmtId="241" formatCode="General&quot;% of other costs&quot;"/>
    <numFmt numFmtId="242" formatCode="General&quot; liters of blood/female intake&quot;"/>
    <numFmt numFmtId="243" formatCode="&quot;1 : &quot;General\ &quot;(male:female)&quot;"/>
    <numFmt numFmtId="244" formatCode="#,##0.0&quot; cm2/adult&quot;"/>
    <numFmt numFmtId="245" formatCode="#,##0&quot; cm2/cage&quot;"/>
    <numFmt numFmtId="246" formatCode="#,##0&quot; males/MO cage&quot;"/>
    <numFmt numFmtId="247" formatCode="#,##0&quot; adults/colony cage&quot;"/>
    <numFmt numFmtId="248" formatCode="#,##0&quot; females/colony cage&quot;"/>
    <numFmt numFmtId="249" formatCode="General&quot; cm deep&quot;"/>
    <numFmt numFmtId="250" formatCode="General&quot; cm wide&quot;"/>
    <numFmt numFmtId="251" formatCode="General&quot; cm long&quot;"/>
    <numFmt numFmtId="252" formatCode="#,##0&quot; pp/operation&quot;"/>
    <numFmt numFmtId="253" formatCode="0.00&quot; Mp&quot;"/>
    <numFmt numFmtId="254" formatCode="0.00&quot; operation/day&quot;"/>
    <numFmt numFmtId="255" formatCode="#,##0&quot; L1/tray&quot;"/>
    <numFmt numFmtId="256" formatCode="#,##0&quot; cm&quot;"/>
    <numFmt numFmtId="257" formatCode="#,##0.0&quot; cm&quot;"/>
    <numFmt numFmtId="258" formatCode="0.0&quot; g/tray&quot;"/>
    <numFmt numFmtId="259" formatCode="#,##0&quot; batches/day&quot;"/>
    <numFmt numFmtId="260" formatCode="&quot;every &quot;#,##0&quot; rearing cycle&quot;"/>
    <numFmt numFmtId="261" formatCode="&quot;every &quot;#,##0&quot; holding cycle&quot;"/>
    <numFmt numFmtId="262" formatCode="0&quot; cycles&quot;"/>
    <numFmt numFmtId="263" formatCode="0&quot; eggs/female/cycle&quot;"/>
    <numFmt numFmtId="264" formatCode="&quot;every &quot;#,##0&quot; days&quot;"/>
    <numFmt numFmtId="265" formatCode="General&quot; compartments&quot;"/>
    <numFmt numFmtId="266" formatCode="General&quot; cm high&quot;"/>
    <numFmt numFmtId="267" formatCode="General\ &quot;cm wide&quot;"/>
    <numFmt numFmtId="268" formatCode="General\ &quot;cm long&quot;"/>
    <numFmt numFmtId="269" formatCode="0.0&quot; m2/staff&quot;"/>
    <numFmt numFmtId="270" formatCode="#,##0&quot; colony cages/h&quot;"/>
    <numFmt numFmtId="271" formatCode="#,##0&quot; MO cages/h&quot;"/>
    <numFmt numFmtId="272" formatCode="0.00&quot; Mp/day&quot;"/>
    <numFmt numFmtId="273" formatCode="0.00&quot; mL of diet solution/tray&quot;"/>
    <numFmt numFmtId="274" formatCode="0.00&quot; mg ingredients/larva&quot;"/>
    <numFmt numFmtId="275" formatCode="0.00&quot; m2&quot;"/>
    <numFmt numFmtId="276" formatCode="#,##0&quot; feeding rounds/membrane&quot;"/>
    <numFmt numFmtId="277" formatCode="#,##0&quot; females/day&quot;"/>
    <numFmt numFmtId="278" formatCode="0.#&quot; €/kg&quot;"/>
    <numFmt numFmtId="279" formatCode="General&quot;% of these pupae are males&quot;"/>
    <numFmt numFmtId="280" formatCode="0&quot;% of larvae have turned to pupae&quot;"/>
    <numFmt numFmtId="281" formatCode="0.00&quot; L/tray&quot;"/>
    <numFmt numFmtId="282" formatCode="0.00&quot; L/cage&quot;"/>
    <numFmt numFmtId="283" formatCode="General&quot; Mpp/h&quot;"/>
    <numFmt numFmtId="284" formatCode="#,##0&quot;  €/m2&quot;"/>
    <numFmt numFmtId="285" formatCode="#,##0&quot; €/m2&quot;"/>
    <numFmt numFmtId="286" formatCode="#,##0&quot; mL eggs/day&quot;"/>
    <numFmt numFmtId="287" formatCode="0.00&quot; hours/day&quot;"/>
    <numFmt numFmtId="288" formatCode="General&quot; trays/day&quot;"/>
    <numFmt numFmtId="289" formatCode="General&quot; racks/day&quot;"/>
    <numFmt numFmtId="290" formatCode="0.00&quot; hours/rack&quot;"/>
    <numFmt numFmtId="291" formatCode="0.0&quot; Mpp/day&quot;"/>
    <numFmt numFmtId="292" formatCode="0.00&quot; hours/Mpp&quot;"/>
    <numFmt numFmtId="293" formatCode="0&quot; operations/day&quot;"/>
    <numFmt numFmtId="294" formatCode="0.00&quot; hours/canister&quot;"/>
    <numFmt numFmtId="295" formatCode="0.00&quot; hours/cage&quot;"/>
    <numFmt numFmtId="296" formatCode="0&quot; L/day&quot;"/>
    <numFmt numFmtId="297" formatCode="0&quot; batches/day&quot;"/>
    <numFmt numFmtId="298" formatCode="0.00&quot; hours/batch&quot;"/>
    <numFmt numFmtId="299" formatCode="0&quot; blood doses/day&quot;"/>
    <numFmt numFmtId="300" formatCode="0.00&quot; hours/l&quot;"/>
    <numFmt numFmtId="301" formatCode="0.0&quot; hours/day&quot;"/>
    <numFmt numFmtId="302" formatCode="0&quot; labourers&quot;"/>
    <numFmt numFmtId="303" formatCode="General&quot; team leader&quot;"/>
    <numFmt numFmtId="304" formatCode="&quot;(&quot;#,##0.0&quot; mL/day)&quot;"/>
    <numFmt numFmtId="305" formatCode="General&quot; operation/day&quot;"/>
    <numFmt numFmtId="306" formatCode="0.00&quot; Mpp/day&quot;"/>
    <numFmt numFmtId="307" formatCode="#,##0.00&quot; L/cage&quot;"/>
    <numFmt numFmtId="308" formatCode="#,##0&quot; mL/casing&quot;"/>
    <numFmt numFmtId="309" formatCode="#,##0&quot; mL/cage/day&quot;"/>
    <numFmt numFmtId="310" formatCode="#,##0&quot; L/week&quot;"/>
    <numFmt numFmtId="311" formatCode="#,##0&quot; L/operation&quot;"/>
    <numFmt numFmtId="312" formatCode="#,##0.00&quot; mg/female/intake&quot;"/>
    <numFmt numFmtId="313" formatCode="0&quot; collection/week&quot;"/>
    <numFmt numFmtId="314" formatCode="0.00&quot; hours/operation&quot;"/>
    <numFmt numFmtId="315" formatCode="#,##0\ &quot;eggs/mL&quot;"/>
    <numFmt numFmtId="316" formatCode="#,##0&quot; pp/L&quot;"/>
    <numFmt numFmtId="317" formatCode="#,##0.0&quot; larvae/mL&quot;"/>
    <numFmt numFmtId="318" formatCode="#,##0&quot; mL&quot;"/>
    <numFmt numFmtId="319" formatCode="0.00&quot; hours/collection&quot;"/>
    <numFmt numFmtId="320" formatCode="0.00&quot; hours/dose&quot;"/>
    <numFmt numFmtId="321" formatCode="0.00&quot; Mmales/day&quot;"/>
    <numFmt numFmtId="322" formatCode="0.0000"/>
    <numFmt numFmtId="323" formatCode="General&quot; QC manager&quot;"/>
    <numFmt numFmtId="324" formatCode="General&quot; QC technician&quot;"/>
    <numFmt numFmtId="325" formatCode="General&quot; maintenance manager&quot;"/>
    <numFmt numFmtId="326" formatCode="General&quot; maintenance staff&quot;"/>
    <numFmt numFmtId="327" formatCode="General&quot; maintenance officer&quot;"/>
    <numFmt numFmtId="328" formatCode="General&quot; admin assistant&quot;"/>
    <numFmt numFmtId="329" formatCode="General&quot; manager&quot;"/>
  </numFmts>
  <fonts count="50" x14ac:knownFonts="1">
    <font>
      <sz val="10"/>
      <name val="Arial"/>
    </font>
    <font>
      <sz val="10"/>
      <name val="Arial"/>
      <family val="2"/>
    </font>
    <font>
      <sz val="10"/>
      <name val="Arial"/>
      <family val="2"/>
    </font>
    <font>
      <sz val="12"/>
      <name val="Arial"/>
      <family val="2"/>
    </font>
    <font>
      <sz val="10"/>
      <color indexed="10"/>
      <name val="Arial"/>
      <family val="2"/>
    </font>
    <font>
      <b/>
      <sz val="14"/>
      <name val="Arial"/>
      <family val="2"/>
    </font>
    <font>
      <b/>
      <sz val="10"/>
      <name val="Arial"/>
      <family val="2"/>
    </font>
    <font>
      <b/>
      <sz val="10"/>
      <color indexed="10"/>
      <name val="Arial"/>
      <family val="2"/>
    </font>
    <font>
      <b/>
      <sz val="12"/>
      <name val="Arial"/>
      <family val="2"/>
    </font>
    <font>
      <sz val="14"/>
      <color indexed="10"/>
      <name val="Arial"/>
      <family val="2"/>
    </font>
    <font>
      <b/>
      <sz val="8"/>
      <name val="Arial"/>
      <family val="2"/>
    </font>
    <font>
      <sz val="10"/>
      <name val="Arial"/>
      <family val="2"/>
    </font>
    <font>
      <sz val="10"/>
      <name val="David"/>
      <family val="2"/>
    </font>
    <font>
      <sz val="12"/>
      <name val="David"/>
      <family val="2"/>
    </font>
    <font>
      <sz val="8"/>
      <name val="Arial"/>
      <family val="2"/>
    </font>
    <font>
      <sz val="10"/>
      <name val="Times New Roman"/>
      <family val="1"/>
    </font>
    <font>
      <sz val="12"/>
      <name val="Times New Roman"/>
      <family val="1"/>
    </font>
    <font>
      <sz val="10"/>
      <color indexed="8"/>
      <name val="Arial"/>
      <family val="2"/>
    </font>
    <font>
      <sz val="10"/>
      <name val="Arial"/>
      <family val="2"/>
    </font>
    <font>
      <sz val="10"/>
      <color indexed="10"/>
      <name val="Arial"/>
      <family val="2"/>
    </font>
    <font>
      <sz val="9"/>
      <color indexed="81"/>
      <name val="Tahoma"/>
      <family val="2"/>
    </font>
    <font>
      <sz val="10"/>
      <color indexed="40"/>
      <name val="Arial"/>
      <family val="2"/>
    </font>
    <font>
      <b/>
      <sz val="10"/>
      <color indexed="40"/>
      <name val="Arial"/>
      <family val="2"/>
    </font>
    <font>
      <sz val="10"/>
      <name val="Arial"/>
      <family val="2"/>
    </font>
    <font>
      <strike/>
      <sz val="10"/>
      <name val="Arial"/>
      <family val="2"/>
    </font>
    <font>
      <u/>
      <sz val="10"/>
      <name val="Arial"/>
      <family val="2"/>
    </font>
    <font>
      <b/>
      <sz val="10"/>
      <color rgb="FF00CCFF"/>
      <name val="Arial"/>
      <family val="2"/>
    </font>
    <font>
      <sz val="10"/>
      <color theme="1"/>
      <name val="Arial"/>
      <family val="2"/>
    </font>
    <font>
      <sz val="10"/>
      <color theme="0" tint="-0.499984740745262"/>
      <name val="Arial"/>
      <family val="2"/>
    </font>
    <font>
      <sz val="10"/>
      <color theme="1" tint="0.499984740745262"/>
      <name val="Arial"/>
      <family val="2"/>
    </font>
    <font>
      <sz val="10"/>
      <color rgb="FFFF0000"/>
      <name val="Arial"/>
      <family val="2"/>
    </font>
    <font>
      <b/>
      <sz val="11"/>
      <name val="Arial"/>
      <family val="2"/>
    </font>
    <font>
      <sz val="11"/>
      <name val="Arial"/>
      <family val="2"/>
    </font>
    <font>
      <b/>
      <sz val="10"/>
      <color rgb="FFFF0000"/>
      <name val="Arial"/>
      <family val="2"/>
    </font>
    <font>
      <sz val="8"/>
      <color theme="0" tint="-0.34998626667073579"/>
      <name val="Arial"/>
      <family val="2"/>
    </font>
    <font>
      <b/>
      <sz val="9"/>
      <name val="Arial"/>
      <family val="2"/>
    </font>
    <font>
      <sz val="9"/>
      <color rgb="FFFF0000"/>
      <name val="Arial"/>
      <family val="2"/>
    </font>
    <font>
      <b/>
      <sz val="9"/>
      <color rgb="FFFF0000"/>
      <name val="Arial"/>
      <family val="2"/>
    </font>
    <font>
      <b/>
      <sz val="9"/>
      <color indexed="10"/>
      <name val="Tahoma"/>
      <family val="2"/>
    </font>
    <font>
      <b/>
      <sz val="10"/>
      <color theme="1"/>
      <name val="Arial"/>
      <family val="2"/>
    </font>
    <font>
      <sz val="11"/>
      <color theme="0" tint="-0.499984740745262"/>
      <name val="Calibri"/>
      <family val="2"/>
      <scheme val="minor"/>
    </font>
    <font>
      <b/>
      <sz val="11"/>
      <color theme="0" tint="-0.499984740745262"/>
      <name val="Calibri"/>
      <family val="2"/>
      <scheme val="minor"/>
    </font>
    <font>
      <sz val="11"/>
      <name val="Calibri"/>
      <family val="2"/>
      <scheme val="minor"/>
    </font>
    <font>
      <i/>
      <sz val="10"/>
      <name val="Arial"/>
      <family val="2"/>
    </font>
    <font>
      <i/>
      <sz val="11"/>
      <name val="Arial"/>
      <family val="2"/>
    </font>
    <font>
      <i/>
      <sz val="10"/>
      <color theme="1"/>
      <name val="Arial"/>
      <family val="2"/>
    </font>
    <font>
      <i/>
      <vertAlign val="superscript"/>
      <sz val="10"/>
      <name val="Arial"/>
      <family val="2"/>
    </font>
    <font>
      <i/>
      <sz val="8"/>
      <name val="Arial"/>
      <family val="2"/>
    </font>
    <font>
      <i/>
      <vertAlign val="superscript"/>
      <sz val="8"/>
      <name val="Arial"/>
      <family val="2"/>
    </font>
    <font>
      <sz val="9"/>
      <color theme="0" tint="-0.499984740745262"/>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s>
  <cellStyleXfs count="8">
    <xf numFmtId="0" fontId="0" fillId="0" borderId="0"/>
    <xf numFmtId="43" fontId="1" fillId="0" borderId="0" applyFont="0" applyFill="0" applyBorder="0" applyAlignment="0" applyProtection="0"/>
    <xf numFmtId="0" fontId="23" fillId="0" borderId="0"/>
    <xf numFmtId="0" fontId="11" fillId="0" borderId="0"/>
    <xf numFmtId="0" fontId="11" fillId="0" borderId="0"/>
    <xf numFmtId="9" fontId="1" fillId="0" borderId="0" applyFont="0" applyFill="0" applyBorder="0" applyAlignment="0" applyProtection="0"/>
    <xf numFmtId="0" fontId="1" fillId="0" borderId="0"/>
    <xf numFmtId="0" fontId="1" fillId="0" borderId="0"/>
  </cellStyleXfs>
  <cellXfs count="606">
    <xf numFmtId="0" fontId="0" fillId="0" borderId="0" xfId="0"/>
    <xf numFmtId="0" fontId="0" fillId="2" borderId="0" xfId="0" applyFill="1" applyProtection="1">
      <protection hidden="1"/>
    </xf>
    <xf numFmtId="0" fontId="2" fillId="2" borderId="0" xfId="0" applyFont="1" applyFill="1" applyProtection="1">
      <protection hidden="1"/>
    </xf>
    <xf numFmtId="0" fontId="4" fillId="2" borderId="0" xfId="0" applyFont="1" applyFill="1" applyProtection="1">
      <protection hidden="1"/>
    </xf>
    <xf numFmtId="2" fontId="0" fillId="2" borderId="0" xfId="0" applyNumberFormat="1" applyFill="1" applyProtection="1">
      <protection hidden="1"/>
    </xf>
    <xf numFmtId="11" fontId="0" fillId="2" borderId="0" xfId="0" applyNumberFormat="1" applyFill="1" applyProtection="1">
      <protection hidden="1"/>
    </xf>
    <xf numFmtId="167" fontId="0" fillId="2" borderId="0" xfId="0" applyNumberFormat="1" applyFill="1" applyAlignment="1" applyProtection="1">
      <alignment horizontal="right"/>
      <protection hidden="1"/>
    </xf>
    <xf numFmtId="3" fontId="0" fillId="2" borderId="0" xfId="0" applyNumberFormat="1" applyFill="1" applyProtection="1">
      <protection hidden="1"/>
    </xf>
    <xf numFmtId="168" fontId="0" fillId="2" borderId="0" xfId="0" applyNumberFormat="1" applyFill="1" applyAlignment="1" applyProtection="1">
      <alignment horizontal="left"/>
      <protection hidden="1"/>
    </xf>
    <xf numFmtId="0" fontId="0" fillId="2" borderId="0" xfId="0" applyFill="1" applyAlignment="1" applyProtection="1">
      <alignment horizontal="right"/>
      <protection hidden="1"/>
    </xf>
    <xf numFmtId="0" fontId="6" fillId="2" borderId="0" xfId="0" applyFont="1" applyFill="1" applyBorder="1" applyAlignment="1" applyProtection="1">
      <alignment wrapText="1"/>
      <protection hidden="1"/>
    </xf>
    <xf numFmtId="11" fontId="7" fillId="2" borderId="0" xfId="0" applyNumberFormat="1" applyFont="1" applyFill="1" applyAlignment="1" applyProtection="1">
      <alignment horizontal="right"/>
      <protection hidden="1"/>
    </xf>
    <xf numFmtId="0" fontId="1" fillId="2" borderId="0" xfId="0" applyFont="1" applyFill="1" applyProtection="1">
      <protection hidden="1"/>
    </xf>
    <xf numFmtId="0" fontId="25" fillId="2" borderId="0" xfId="0" applyFont="1" applyFill="1" applyProtection="1">
      <protection hidden="1"/>
    </xf>
    <xf numFmtId="0" fontId="0" fillId="2" borderId="0" xfId="0" applyFill="1" applyAlignment="1" applyProtection="1">
      <alignment horizontal="center"/>
      <protection hidden="1"/>
    </xf>
    <xf numFmtId="0" fontId="21" fillId="2" borderId="0" xfId="0" applyFont="1" applyFill="1" applyBorder="1" applyProtection="1">
      <protection hidden="1"/>
    </xf>
    <xf numFmtId="11" fontId="22" fillId="2" borderId="0" xfId="0" applyNumberFormat="1" applyFont="1" applyFill="1" applyBorder="1" applyProtection="1">
      <protection hidden="1"/>
    </xf>
    <xf numFmtId="2" fontId="26" fillId="2" borderId="0" xfId="0" applyNumberFormat="1" applyFont="1" applyFill="1" applyBorder="1" applyProtection="1">
      <protection hidden="1"/>
    </xf>
    <xf numFmtId="0" fontId="22" fillId="2" borderId="0" xfId="0" applyFont="1" applyFill="1" applyBorder="1" applyAlignment="1" applyProtection="1">
      <alignment horizontal="center"/>
      <protection hidden="1"/>
    </xf>
    <xf numFmtId="0" fontId="18" fillId="2" borderId="0" xfId="0" applyFont="1" applyFill="1" applyProtection="1">
      <protection hidden="1"/>
    </xf>
    <xf numFmtId="205" fontId="29" fillId="2" borderId="0" xfId="0" applyNumberFormat="1" applyFont="1" applyFill="1" applyBorder="1" applyAlignment="1" applyProtection="1">
      <alignment horizontal="center" vertical="center"/>
      <protection hidden="1"/>
    </xf>
    <xf numFmtId="0" fontId="0" fillId="2" borderId="0" xfId="0" applyFill="1" applyBorder="1" applyProtection="1">
      <protection hidden="1"/>
    </xf>
    <xf numFmtId="0" fontId="2" fillId="2" borderId="0" xfId="0" applyFont="1" applyFill="1" applyBorder="1" applyProtection="1">
      <protection hidden="1"/>
    </xf>
    <xf numFmtId="0" fontId="19" fillId="2" borderId="0" xfId="0" applyFont="1" applyFill="1" applyProtection="1">
      <protection hidden="1"/>
    </xf>
    <xf numFmtId="0" fontId="9" fillId="2" borderId="0" xfId="0" applyFont="1" applyFill="1" applyBorder="1" applyAlignment="1" applyProtection="1">
      <alignment horizontal="left"/>
      <protection hidden="1"/>
    </xf>
    <xf numFmtId="2" fontId="6" fillId="2" borderId="0" xfId="0" applyNumberFormat="1"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2" fontId="2" fillId="2" borderId="0" xfId="0" applyNumberFormat="1" applyFont="1" applyFill="1" applyBorder="1" applyProtection="1">
      <protection hidden="1"/>
    </xf>
    <xf numFmtId="0" fontId="7" fillId="2" borderId="0" xfId="0" applyFont="1" applyFill="1" applyAlignment="1" applyProtection="1">
      <alignment horizontal="left"/>
      <protection hidden="1"/>
    </xf>
    <xf numFmtId="0" fontId="2" fillId="2" borderId="0" xfId="0" applyFont="1" applyFill="1" applyBorder="1" applyAlignment="1" applyProtection="1">
      <alignment horizontal="left"/>
      <protection hidden="1"/>
    </xf>
    <xf numFmtId="2" fontId="19" fillId="2" borderId="0" xfId="0" applyNumberFormat="1" applyFont="1" applyFill="1" applyBorder="1" applyAlignment="1" applyProtection="1">
      <alignment horizontal="center"/>
      <protection hidden="1"/>
    </xf>
    <xf numFmtId="2" fontId="19" fillId="2" borderId="0" xfId="0" applyNumberFormat="1" applyFont="1" applyFill="1" applyProtection="1">
      <protection hidden="1"/>
    </xf>
    <xf numFmtId="0" fontId="1" fillId="2" borderId="0" xfId="0" applyFont="1" applyFill="1" applyAlignment="1" applyProtection="1">
      <alignment horizontal="left" indent="2"/>
      <protection hidden="1"/>
    </xf>
    <xf numFmtId="4" fontId="0" fillId="2" borderId="0" xfId="0" applyNumberFormat="1" applyFill="1" applyProtection="1">
      <protection hidden="1"/>
    </xf>
    <xf numFmtId="0" fontId="6" fillId="2" borderId="0" xfId="0" applyFont="1" applyFill="1" applyProtection="1">
      <protection hidden="1"/>
    </xf>
    <xf numFmtId="166" fontId="6" fillId="2" borderId="0" xfId="1" applyNumberFormat="1" applyFont="1" applyFill="1" applyProtection="1">
      <protection hidden="1"/>
    </xf>
    <xf numFmtId="4" fontId="6" fillId="2" borderId="0" xfId="0" applyNumberFormat="1" applyFont="1" applyFill="1" applyBorder="1" applyProtection="1">
      <protection hidden="1"/>
    </xf>
    <xf numFmtId="166" fontId="6" fillId="2" borderId="0" xfId="1" applyNumberFormat="1" applyFont="1" applyFill="1" applyBorder="1" applyProtection="1">
      <protection hidden="1"/>
    </xf>
    <xf numFmtId="0" fontId="3" fillId="2" borderId="0" xfId="0" applyFont="1" applyFill="1" applyProtection="1">
      <protection hidden="1"/>
    </xf>
    <xf numFmtId="0" fontId="8" fillId="2" borderId="0" xfId="0" applyFont="1" applyFill="1" applyProtection="1">
      <protection hidden="1"/>
    </xf>
    <xf numFmtId="0" fontId="8" fillId="2" borderId="0" xfId="0" applyFont="1" applyFill="1" applyAlignment="1" applyProtection="1">
      <alignment horizontal="center"/>
      <protection hidden="1"/>
    </xf>
    <xf numFmtId="0" fontId="0" fillId="2" borderId="0" xfId="0" applyFill="1" applyAlignment="1" applyProtection="1">
      <alignment horizontal="center" vertical="center"/>
      <protection hidden="1"/>
    </xf>
    <xf numFmtId="2" fontId="0" fillId="2" borderId="0" xfId="0" applyNumberFormat="1" applyFill="1" applyBorder="1" applyProtection="1">
      <protection hidden="1"/>
    </xf>
    <xf numFmtId="4" fontId="0" fillId="2" borderId="0" xfId="0" applyNumberFormat="1" applyFill="1" applyBorder="1" applyProtection="1">
      <protection hidden="1"/>
    </xf>
    <xf numFmtId="4" fontId="1" fillId="2" borderId="0" xfId="0" applyNumberFormat="1" applyFont="1" applyFill="1" applyBorder="1" applyProtection="1">
      <protection hidden="1"/>
    </xf>
    <xf numFmtId="1" fontId="2" fillId="2" borderId="0" xfId="0" applyNumberFormat="1" applyFont="1" applyFill="1" applyProtection="1">
      <protection hidden="1"/>
    </xf>
    <xf numFmtId="1" fontId="0" fillId="2" borderId="0" xfId="0" applyNumberFormat="1" applyFill="1" applyProtection="1">
      <protection hidden="1"/>
    </xf>
    <xf numFmtId="0" fontId="2" fillId="2" borderId="0" xfId="3" applyFont="1" applyFill="1" applyBorder="1" applyProtection="1">
      <protection hidden="1"/>
    </xf>
    <xf numFmtId="0" fontId="2" fillId="2" borderId="0" xfId="4" applyFont="1" applyFill="1" applyProtection="1">
      <protection hidden="1"/>
    </xf>
    <xf numFmtId="0" fontId="2" fillId="2" borderId="0" xfId="4" applyFont="1" applyFill="1" applyBorder="1" applyProtection="1">
      <protection hidden="1"/>
    </xf>
    <xf numFmtId="3" fontId="8" fillId="2" borderId="0" xfId="4" applyNumberFormat="1" applyFont="1" applyFill="1" applyBorder="1" applyProtection="1">
      <protection hidden="1"/>
    </xf>
    <xf numFmtId="0" fontId="4" fillId="2" borderId="0" xfId="4" applyFont="1" applyFill="1" applyBorder="1" applyProtection="1">
      <protection hidden="1"/>
    </xf>
    <xf numFmtId="3" fontId="4" fillId="2" borderId="0" xfId="4" applyNumberFormat="1" applyFont="1" applyFill="1" applyBorder="1" applyProtection="1">
      <protection hidden="1"/>
    </xf>
    <xf numFmtId="0" fontId="6" fillId="2" borderId="0" xfId="4" applyFont="1" applyFill="1" applyBorder="1" applyProtection="1">
      <protection hidden="1"/>
    </xf>
    <xf numFmtId="0" fontId="6" fillId="2" borderId="0" xfId="4" applyFont="1" applyFill="1" applyProtection="1">
      <protection hidden="1"/>
    </xf>
    <xf numFmtId="0" fontId="7" fillId="2" borderId="0" xfId="4" applyFont="1" applyFill="1" applyBorder="1" applyProtection="1">
      <protection hidden="1"/>
    </xf>
    <xf numFmtId="0" fontId="4" fillId="2" borderId="0" xfId="4" applyFont="1" applyFill="1" applyProtection="1">
      <protection hidden="1"/>
    </xf>
    <xf numFmtId="0" fontId="2" fillId="2" borderId="0" xfId="3" applyFont="1" applyFill="1" applyProtection="1">
      <protection hidden="1"/>
    </xf>
    <xf numFmtId="0" fontId="15" fillId="2" borderId="0" xfId="3" applyFont="1" applyFill="1" applyProtection="1">
      <protection hidden="1"/>
    </xf>
    <xf numFmtId="0" fontId="15" fillId="2" borderId="0" xfId="3" applyFont="1" applyFill="1" applyBorder="1" applyProtection="1">
      <protection hidden="1"/>
    </xf>
    <xf numFmtId="0" fontId="12" fillId="2" borderId="0" xfId="3" applyFont="1" applyFill="1" applyProtection="1">
      <protection hidden="1"/>
    </xf>
    <xf numFmtId="0" fontId="3" fillId="2" borderId="0" xfId="3" applyFont="1" applyFill="1" applyBorder="1" applyProtection="1">
      <protection hidden="1"/>
    </xf>
    <xf numFmtId="0" fontId="16" fillId="2" borderId="0" xfId="3" applyFont="1" applyFill="1" applyBorder="1" applyProtection="1">
      <protection hidden="1"/>
    </xf>
    <xf numFmtId="2" fontId="15" fillId="2" borderId="0" xfId="3" applyNumberFormat="1" applyFont="1" applyFill="1" applyBorder="1" applyAlignment="1" applyProtection="1">
      <alignment horizontal="right"/>
      <protection hidden="1"/>
    </xf>
    <xf numFmtId="2" fontId="15" fillId="2" borderId="0" xfId="3" applyNumberFormat="1" applyFont="1" applyFill="1" applyBorder="1" applyProtection="1">
      <protection hidden="1"/>
    </xf>
    <xf numFmtId="0" fontId="16" fillId="2" borderId="0" xfId="3" applyFont="1" applyFill="1" applyProtection="1">
      <protection hidden="1"/>
    </xf>
    <xf numFmtId="0" fontId="13" fillId="2" borderId="0" xfId="3" applyFont="1" applyFill="1" applyProtection="1">
      <protection hidden="1"/>
    </xf>
    <xf numFmtId="0" fontId="0" fillId="2" borderId="0" xfId="0" applyFill="1" applyProtection="1"/>
    <xf numFmtId="0" fontId="21" fillId="2" borderId="0" xfId="0" applyFont="1" applyFill="1" applyProtection="1"/>
    <xf numFmtId="0" fontId="1" fillId="2" borderId="0" xfId="0" applyFont="1" applyFill="1" applyProtection="1"/>
    <xf numFmtId="0" fontId="18" fillId="2" borderId="0" xfId="0" applyFont="1" applyFill="1" applyProtection="1"/>
    <xf numFmtId="0" fontId="0" fillId="2" borderId="0" xfId="0" applyFill="1" applyAlignment="1" applyProtection="1">
      <alignment horizontal="center"/>
    </xf>
    <xf numFmtId="0" fontId="2" fillId="2" borderId="0" xfId="0" applyFont="1" applyFill="1" applyProtection="1"/>
    <xf numFmtId="0" fontId="28" fillId="2" borderId="0" xfId="0" applyFont="1" applyFill="1" applyProtection="1"/>
    <xf numFmtId="0" fontId="30" fillId="2" borderId="0" xfId="0" applyFont="1" applyFill="1" applyProtection="1"/>
    <xf numFmtId="0" fontId="24" fillId="2" borderId="0" xfId="0" applyFont="1" applyFill="1" applyProtection="1"/>
    <xf numFmtId="0" fontId="0" fillId="2" borderId="0" xfId="0" applyFill="1" applyBorder="1" applyProtection="1"/>
    <xf numFmtId="0" fontId="6" fillId="2" borderId="0" xfId="0" applyFont="1" applyFill="1" applyProtection="1"/>
    <xf numFmtId="0" fontId="0" fillId="2" borderId="2" xfId="0" applyFill="1" applyBorder="1" applyProtection="1"/>
    <xf numFmtId="2" fontId="0" fillId="2" borderId="0" xfId="0" applyNumberFormat="1" applyFill="1" applyProtection="1"/>
    <xf numFmtId="2" fontId="0" fillId="2" borderId="0" xfId="5" applyNumberFormat="1" applyFont="1" applyFill="1" applyProtection="1"/>
    <xf numFmtId="0" fontId="19" fillId="2" borderId="0" xfId="0" applyFont="1" applyFill="1" applyProtection="1"/>
    <xf numFmtId="4" fontId="0" fillId="2" borderId="0" xfId="0" applyNumberFormat="1" applyFill="1" applyProtection="1"/>
    <xf numFmtId="227" fontId="0" fillId="2" borderId="0" xfId="0" applyNumberFormat="1" applyFill="1" applyAlignment="1" applyProtection="1">
      <alignment horizontal="center"/>
    </xf>
    <xf numFmtId="166" fontId="6" fillId="2" borderId="0" xfId="1" applyNumberFormat="1" applyFont="1" applyFill="1" applyAlignment="1" applyProtection="1">
      <alignment horizontal="right" indent="1"/>
      <protection hidden="1"/>
    </xf>
    <xf numFmtId="0" fontId="0" fillId="2" borderId="0" xfId="0" applyFill="1" applyAlignment="1" applyProtection="1">
      <alignment horizontal="right" indent="1"/>
      <protection hidden="1"/>
    </xf>
    <xf numFmtId="43" fontId="6" fillId="2" borderId="0" xfId="1" applyNumberFormat="1" applyFont="1" applyFill="1" applyBorder="1" applyAlignment="1" applyProtection="1">
      <alignment horizontal="right" indent="1"/>
      <protection hidden="1"/>
    </xf>
    <xf numFmtId="0" fontId="30" fillId="2" borderId="0" xfId="4" applyFont="1" applyFill="1" applyBorder="1" applyProtection="1">
      <protection hidden="1"/>
    </xf>
    <xf numFmtId="203" fontId="2" fillId="2" borderId="0" xfId="3" applyNumberFormat="1" applyFont="1" applyFill="1" applyAlignment="1" applyProtection="1">
      <alignment vertical="center"/>
      <protection hidden="1"/>
    </xf>
    <xf numFmtId="3" fontId="6" fillId="2" borderId="0" xfId="4" applyNumberFormat="1" applyFont="1" applyFill="1" applyBorder="1" applyAlignment="1" applyProtection="1">
      <alignment horizontal="right"/>
      <protection hidden="1"/>
    </xf>
    <xf numFmtId="203" fontId="6" fillId="2" borderId="0" xfId="4" applyNumberFormat="1" applyFont="1" applyFill="1" applyBorder="1" applyProtection="1">
      <protection hidden="1"/>
    </xf>
    <xf numFmtId="194" fontId="4" fillId="2" borderId="0" xfId="4" applyNumberFormat="1" applyFont="1" applyFill="1" applyBorder="1" applyProtection="1">
      <protection hidden="1"/>
    </xf>
    <xf numFmtId="2" fontId="1" fillId="2" borderId="0" xfId="0" applyNumberFormat="1" applyFont="1" applyFill="1" applyProtection="1"/>
    <xf numFmtId="242" fontId="0" fillId="2" borderId="0" xfId="0" applyNumberFormat="1" applyFill="1" applyAlignment="1" applyProtection="1">
      <alignment horizontal="left" indent="1"/>
      <protection hidden="1"/>
    </xf>
    <xf numFmtId="2" fontId="30" fillId="2" borderId="0" xfId="3" applyNumberFormat="1" applyFont="1" applyFill="1" applyBorder="1" applyAlignment="1" applyProtection="1">
      <alignment horizontal="left"/>
      <protection hidden="1"/>
    </xf>
    <xf numFmtId="0" fontId="2" fillId="2" borderId="0" xfId="4" applyFont="1" applyFill="1" applyProtection="1"/>
    <xf numFmtId="0" fontId="6" fillId="2" borderId="0" xfId="4" applyFont="1" applyFill="1" applyProtection="1"/>
    <xf numFmtId="0" fontId="2" fillId="2" borderId="0" xfId="4" applyFont="1" applyFill="1" applyBorder="1" applyProtection="1"/>
    <xf numFmtId="0" fontId="4" fillId="2" borderId="0" xfId="4" applyFont="1" applyFill="1" applyBorder="1" applyProtection="1"/>
    <xf numFmtId="0" fontId="4" fillId="2" borderId="0" xfId="4" applyFont="1" applyFill="1" applyProtection="1"/>
    <xf numFmtId="0" fontId="30" fillId="2" borderId="0" xfId="4" applyFont="1" applyFill="1" applyAlignment="1" applyProtection="1">
      <alignment horizontal="center" vertical="center" wrapText="1"/>
      <protection hidden="1"/>
    </xf>
    <xf numFmtId="0" fontId="30" fillId="2" borderId="0" xfId="4" applyFont="1" applyFill="1" applyAlignment="1" applyProtection="1">
      <alignment vertical="center" wrapText="1"/>
      <protection hidden="1"/>
    </xf>
    <xf numFmtId="0" fontId="31" fillId="2" borderId="0" xfId="4" applyFont="1" applyFill="1" applyBorder="1" applyAlignment="1" applyProtection="1">
      <alignment horizontal="center" vertical="center" textRotation="90" wrapText="1"/>
      <protection hidden="1"/>
    </xf>
    <xf numFmtId="0" fontId="2" fillId="2" borderId="0" xfId="4" applyFont="1" applyFill="1" applyBorder="1" applyAlignment="1" applyProtection="1">
      <alignment horizontal="left" indent="2"/>
      <protection hidden="1"/>
    </xf>
    <xf numFmtId="0" fontId="12" fillId="2" borderId="0" xfId="3" applyFont="1" applyFill="1" applyProtection="1"/>
    <xf numFmtId="0" fontId="13" fillId="2" borderId="0" xfId="3" applyFont="1" applyFill="1" applyProtection="1"/>
    <xf numFmtId="0" fontId="0" fillId="2" borderId="0" xfId="0" applyFill="1" applyAlignment="1" applyProtection="1">
      <alignment horizontal="right"/>
    </xf>
    <xf numFmtId="0" fontId="1" fillId="2" borderId="0" xfId="0" quotePrefix="1" applyFont="1" applyFill="1" applyAlignment="1" applyProtection="1">
      <alignment horizontal="center" vertical="center"/>
    </xf>
    <xf numFmtId="193" fontId="28" fillId="2" borderId="0" xfId="0" applyNumberFormat="1" applyFont="1" applyFill="1" applyProtection="1"/>
    <xf numFmtId="1" fontId="0" fillId="2" borderId="0" xfId="0" applyNumberFormat="1" applyFill="1" applyProtection="1"/>
    <xf numFmtId="43" fontId="0" fillId="2" borderId="0" xfId="1" applyFont="1" applyFill="1" applyProtection="1"/>
    <xf numFmtId="11" fontId="0" fillId="2" borderId="0" xfId="0" applyNumberFormat="1" applyFill="1" applyProtection="1"/>
    <xf numFmtId="0" fontId="0" fillId="2" borderId="0" xfId="0" applyFill="1" applyBorder="1" applyAlignment="1" applyProtection="1">
      <alignment horizontal="right"/>
    </xf>
    <xf numFmtId="2" fontId="30" fillId="2" borderId="0" xfId="0" applyNumberFormat="1" applyFont="1" applyFill="1" applyBorder="1" applyProtection="1">
      <protection hidden="1"/>
    </xf>
    <xf numFmtId="0" fontId="33" fillId="2" borderId="0" xfId="0" applyFont="1" applyFill="1" applyProtection="1"/>
    <xf numFmtId="0" fontId="34" fillId="2" borderId="0" xfId="0" applyFont="1" applyFill="1" applyAlignment="1" applyProtection="1">
      <alignment horizontal="center"/>
    </xf>
    <xf numFmtId="3" fontId="0" fillId="2" borderId="0" xfId="0" applyNumberFormat="1" applyFill="1" applyProtection="1"/>
    <xf numFmtId="0" fontId="1" fillId="2" borderId="0" xfId="0" applyFont="1" applyFill="1" applyBorder="1" applyAlignment="1" applyProtection="1">
      <alignment horizontal="left" indent="1"/>
      <protection hidden="1"/>
    </xf>
    <xf numFmtId="43" fontId="6" fillId="2" borderId="0" xfId="1" applyNumberFormat="1" applyFont="1" applyFill="1" applyAlignment="1" applyProtection="1">
      <alignment horizontal="left" indent="1"/>
      <protection hidden="1"/>
    </xf>
    <xf numFmtId="182" fontId="28" fillId="2" borderId="0" xfId="0" applyNumberFormat="1" applyFont="1" applyFill="1" applyBorder="1" applyAlignment="1" applyProtection="1">
      <alignment horizontal="right" vertical="center" indent="1"/>
      <protection hidden="1"/>
    </xf>
    <xf numFmtId="184" fontId="28" fillId="2" borderId="0" xfId="0" applyNumberFormat="1" applyFont="1" applyFill="1" applyBorder="1" applyAlignment="1" applyProtection="1">
      <alignment horizontal="right" vertical="center" indent="1"/>
      <protection hidden="1"/>
    </xf>
    <xf numFmtId="0" fontId="1" fillId="2" borderId="0" xfId="0" applyFont="1" applyFill="1" applyBorder="1" applyProtection="1"/>
    <xf numFmtId="229" fontId="28" fillId="2" borderId="0" xfId="0" applyNumberFormat="1" applyFont="1" applyFill="1" applyBorder="1" applyAlignment="1" applyProtection="1">
      <alignment horizontal="right" vertical="center" indent="1"/>
      <protection hidden="1"/>
    </xf>
    <xf numFmtId="178" fontId="28" fillId="2" borderId="0" xfId="0" applyNumberFormat="1" applyFont="1" applyFill="1" applyBorder="1" applyAlignment="1" applyProtection="1">
      <alignment horizontal="right" vertical="center" indent="1"/>
      <protection hidden="1"/>
    </xf>
    <xf numFmtId="179" fontId="28" fillId="2" borderId="0" xfId="0" applyNumberFormat="1" applyFont="1" applyFill="1" applyBorder="1" applyAlignment="1" applyProtection="1">
      <alignment horizontal="right" vertical="center" indent="1"/>
      <protection hidden="1"/>
    </xf>
    <xf numFmtId="209" fontId="0" fillId="2" borderId="0" xfId="0" applyNumberFormat="1" applyFill="1" applyProtection="1"/>
    <xf numFmtId="0" fontId="31" fillId="2" borderId="0" xfId="4" applyFont="1" applyFill="1" applyBorder="1" applyAlignment="1" applyProtection="1">
      <alignment vertical="center" textRotation="90" wrapText="1"/>
      <protection hidden="1"/>
    </xf>
    <xf numFmtId="0" fontId="1" fillId="2" borderId="0" xfId="6" applyFill="1" applyProtection="1"/>
    <xf numFmtId="0" fontId="1" fillId="2" borderId="1" xfId="6" applyFill="1" applyBorder="1" applyProtection="1"/>
    <xf numFmtId="0" fontId="1" fillId="2" borderId="0" xfId="6" applyFill="1" applyBorder="1" applyProtection="1"/>
    <xf numFmtId="0" fontId="1" fillId="2" borderId="0" xfId="6" applyFill="1" applyProtection="1">
      <protection hidden="1"/>
    </xf>
    <xf numFmtId="0" fontId="1" fillId="2" borderId="0" xfId="6" applyFill="1" applyBorder="1" applyProtection="1">
      <protection hidden="1"/>
    </xf>
    <xf numFmtId="0" fontId="36" fillId="2" borderId="0" xfId="0" applyFont="1" applyFill="1" applyAlignment="1" applyProtection="1">
      <alignment vertical="top" wrapText="1"/>
    </xf>
    <xf numFmtId="0" fontId="36" fillId="2" borderId="0" xfId="0" applyFont="1" applyFill="1" applyProtection="1"/>
    <xf numFmtId="0" fontId="37" fillId="2" borderId="0" xfId="0" applyFont="1" applyFill="1" applyProtection="1"/>
    <xf numFmtId="0" fontId="4" fillId="2" borderId="0" xfId="6" applyFont="1" applyFill="1" applyProtection="1"/>
    <xf numFmtId="0" fontId="4" fillId="2" borderId="0" xfId="6" applyFont="1" applyFill="1" applyProtection="1">
      <protection hidden="1"/>
    </xf>
    <xf numFmtId="0" fontId="4" fillId="2" borderId="0" xfId="6" applyFont="1" applyFill="1" applyBorder="1" applyProtection="1">
      <protection hidden="1"/>
    </xf>
    <xf numFmtId="203" fontId="6" fillId="2" borderId="0" xfId="7" applyNumberFormat="1" applyFont="1" applyFill="1" applyBorder="1" applyProtection="1">
      <protection hidden="1"/>
    </xf>
    <xf numFmtId="3" fontId="6" fillId="2" borderId="0" xfId="7" applyNumberFormat="1" applyFont="1" applyFill="1" applyBorder="1" applyAlignment="1" applyProtection="1">
      <alignment horizontal="right"/>
      <protection hidden="1"/>
    </xf>
    <xf numFmtId="0" fontId="1" fillId="2" borderId="0" xfId="6" applyFont="1" applyFill="1" applyAlignment="1" applyProtection="1">
      <alignment horizontal="right"/>
      <protection hidden="1"/>
    </xf>
    <xf numFmtId="0" fontId="1" fillId="2" borderId="0" xfId="6" applyFill="1" applyAlignment="1" applyProtection="1">
      <alignment horizontal="center"/>
    </xf>
    <xf numFmtId="1" fontId="1" fillId="2" borderId="0" xfId="6" applyNumberFormat="1" applyFont="1" applyFill="1" applyBorder="1" applyAlignment="1" applyProtection="1">
      <alignment horizontal="right"/>
      <protection hidden="1"/>
    </xf>
    <xf numFmtId="0" fontId="1" fillId="2" borderId="0" xfId="6" applyFont="1" applyFill="1" applyBorder="1" applyProtection="1">
      <protection hidden="1"/>
    </xf>
    <xf numFmtId="193" fontId="1" fillId="2" borderId="0" xfId="6" applyNumberFormat="1" applyFill="1" applyBorder="1" applyAlignment="1" applyProtection="1">
      <alignment horizontal="center"/>
    </xf>
    <xf numFmtId="165" fontId="0" fillId="2" borderId="0" xfId="0" applyNumberFormat="1" applyFill="1" applyBorder="1" applyAlignment="1" applyProtection="1">
      <alignment horizontal="center" wrapText="1"/>
      <protection hidden="1"/>
    </xf>
    <xf numFmtId="0" fontId="0" fillId="2" borderId="0" xfId="0" applyFill="1" applyBorder="1" applyAlignment="1" applyProtection="1">
      <alignment wrapText="1"/>
      <protection hidden="1"/>
    </xf>
    <xf numFmtId="165" fontId="0" fillId="2" borderId="0" xfId="0" applyNumberFormat="1" applyFill="1" applyBorder="1" applyProtection="1">
      <protection hidden="1"/>
    </xf>
    <xf numFmtId="2" fontId="0" fillId="2" borderId="0" xfId="0" applyNumberFormat="1" applyFill="1" applyBorder="1" applyProtection="1"/>
    <xf numFmtId="2" fontId="0" fillId="2" borderId="0" xfId="0" applyNumberFormat="1" applyFill="1" applyBorder="1" applyAlignment="1" applyProtection="1">
      <alignment horizontal="center"/>
      <protection hidden="1"/>
    </xf>
    <xf numFmtId="0" fontId="0" fillId="2" borderId="0" xfId="0" applyFill="1" applyBorder="1" applyAlignment="1" applyProtection="1">
      <alignment horizontal="center"/>
    </xf>
    <xf numFmtId="4" fontId="0" fillId="2" borderId="0" xfId="0" applyNumberFormat="1" applyFill="1" applyBorder="1" applyProtection="1"/>
    <xf numFmtId="300" fontId="1" fillId="2" borderId="0" xfId="0" applyNumberFormat="1" applyFont="1" applyFill="1" applyBorder="1" applyAlignment="1" applyProtection="1">
      <alignment horizontal="right" indent="1"/>
    </xf>
    <xf numFmtId="302" fontId="1" fillId="2" borderId="0" xfId="0" applyNumberFormat="1" applyFont="1" applyFill="1" applyBorder="1" applyAlignment="1" applyProtection="1">
      <alignment horizontal="center" vertical="center"/>
    </xf>
    <xf numFmtId="303" fontId="0" fillId="2" borderId="0" xfId="0" applyNumberFormat="1" applyFill="1" applyBorder="1" applyAlignment="1" applyProtection="1">
      <alignment horizontal="right" indent="1"/>
      <protection hidden="1"/>
    </xf>
    <xf numFmtId="0" fontId="1" fillId="2" borderId="0" xfId="0" applyFont="1" applyFill="1" applyBorder="1" applyAlignment="1" applyProtection="1">
      <alignment horizontal="left" indent="1"/>
    </xf>
    <xf numFmtId="296" fontId="0" fillId="2" borderId="0" xfId="0" applyNumberFormat="1" applyFill="1" applyBorder="1" applyAlignment="1" applyProtection="1">
      <alignment horizontal="center"/>
    </xf>
    <xf numFmtId="201" fontId="0" fillId="2" borderId="0" xfId="0" applyNumberFormat="1" applyFill="1" applyBorder="1" applyAlignment="1" applyProtection="1">
      <alignment horizontal="center" vertical="center"/>
    </xf>
    <xf numFmtId="2" fontId="0" fillId="2" borderId="0" xfId="0" applyNumberFormat="1" applyFill="1" applyBorder="1" applyAlignment="1" applyProtection="1">
      <alignment horizontal="right"/>
      <protection hidden="1"/>
    </xf>
    <xf numFmtId="0" fontId="0" fillId="2" borderId="0" xfId="0" applyFill="1" applyBorder="1" applyAlignment="1" applyProtection="1">
      <alignment horizontal="right"/>
      <protection hidden="1"/>
    </xf>
    <xf numFmtId="2" fontId="4" fillId="2" borderId="0" xfId="0" applyNumberFormat="1" applyFont="1" applyFill="1" applyBorder="1" applyProtection="1"/>
    <xf numFmtId="4" fontId="4" fillId="2" borderId="0" xfId="0" applyNumberFormat="1" applyFont="1" applyFill="1" applyBorder="1" applyProtection="1"/>
    <xf numFmtId="0" fontId="7" fillId="2" borderId="0" xfId="0" applyFont="1" applyFill="1" applyBorder="1" applyProtection="1"/>
    <xf numFmtId="4" fontId="6" fillId="2" borderId="0" xfId="0" applyNumberFormat="1" applyFont="1" applyFill="1" applyBorder="1" applyProtection="1"/>
    <xf numFmtId="0" fontId="14" fillId="2" borderId="0" xfId="0" applyFont="1" applyFill="1" applyProtection="1"/>
    <xf numFmtId="304" fontId="28" fillId="2" borderId="0" xfId="0" applyNumberFormat="1" applyFont="1" applyFill="1" applyAlignment="1" applyProtection="1">
      <alignment horizontal="center"/>
      <protection hidden="1"/>
    </xf>
    <xf numFmtId="306" fontId="28" fillId="2" borderId="0" xfId="0" applyNumberFormat="1" applyFont="1" applyFill="1" applyAlignment="1" applyProtection="1">
      <alignment horizontal="right" indent="1"/>
    </xf>
    <xf numFmtId="0" fontId="0" fillId="2" borderId="0" xfId="0" applyFill="1" applyAlignment="1" applyProtection="1">
      <alignment horizontal="center" vertical="center"/>
    </xf>
    <xf numFmtId="0" fontId="1" fillId="2" borderId="0" xfId="0" applyFont="1" applyFill="1" applyBorder="1" applyAlignment="1" applyProtection="1">
      <alignment horizontal="left" indent="3"/>
      <protection hidden="1"/>
    </xf>
    <xf numFmtId="3" fontId="31" fillId="2" borderId="0" xfId="4" applyNumberFormat="1" applyFont="1" applyFill="1" applyBorder="1" applyAlignment="1" applyProtection="1">
      <alignment horizontal="right"/>
      <protection hidden="1"/>
    </xf>
    <xf numFmtId="236" fontId="6" fillId="2" borderId="0" xfId="4" applyNumberFormat="1" applyFont="1" applyFill="1" applyBorder="1" applyAlignment="1" applyProtection="1">
      <alignment horizontal="center"/>
      <protection hidden="1"/>
    </xf>
    <xf numFmtId="0" fontId="2" fillId="2" borderId="3" xfId="4" applyFont="1" applyFill="1" applyBorder="1" applyAlignment="1" applyProtection="1">
      <alignment horizontal="left" indent="2"/>
      <protection hidden="1"/>
    </xf>
    <xf numFmtId="195" fontId="2" fillId="2" borderId="3" xfId="4" applyNumberFormat="1" applyFont="1" applyFill="1" applyBorder="1" applyAlignment="1" applyProtection="1">
      <alignment horizontal="center" vertical="center"/>
    </xf>
    <xf numFmtId="214" fontId="2" fillId="2" borderId="3" xfId="4" applyNumberFormat="1" applyFont="1" applyFill="1" applyBorder="1" applyAlignment="1" applyProtection="1">
      <alignment horizontal="center" vertical="center"/>
      <protection hidden="1"/>
    </xf>
    <xf numFmtId="0" fontId="1" fillId="2" borderId="3" xfId="4" applyFont="1" applyFill="1" applyBorder="1" applyAlignment="1" applyProtection="1">
      <alignment horizontal="left" indent="2"/>
      <protection hidden="1"/>
    </xf>
    <xf numFmtId="0" fontId="2" fillId="2" borderId="3" xfId="0" applyFont="1" applyFill="1" applyBorder="1" applyAlignment="1" applyProtection="1">
      <alignment horizontal="left" indent="2"/>
      <protection hidden="1"/>
    </xf>
    <xf numFmtId="190" fontId="0" fillId="2" borderId="3" xfId="0" applyNumberFormat="1" applyFill="1" applyBorder="1" applyAlignment="1" applyProtection="1">
      <alignment horizontal="center"/>
      <protection hidden="1"/>
    </xf>
    <xf numFmtId="218" fontId="0" fillId="2" borderId="3" xfId="0" applyNumberFormat="1" applyFill="1" applyBorder="1" applyAlignment="1" applyProtection="1">
      <alignment horizontal="center"/>
      <protection hidden="1"/>
    </xf>
    <xf numFmtId="219" fontId="0" fillId="2" borderId="3" xfId="0" applyNumberFormat="1" applyFill="1" applyBorder="1" applyAlignment="1" applyProtection="1">
      <alignment horizontal="center"/>
      <protection hidden="1"/>
    </xf>
    <xf numFmtId="203" fontId="2" fillId="2" borderId="3" xfId="1" applyNumberFormat="1" applyFont="1" applyFill="1" applyBorder="1" applyAlignment="1" applyProtection="1">
      <alignment horizontal="center"/>
      <protection hidden="1"/>
    </xf>
    <xf numFmtId="0" fontId="1" fillId="2" borderId="3" xfId="0" applyFont="1" applyFill="1" applyBorder="1" applyAlignment="1" applyProtection="1">
      <alignment horizontal="left" indent="2"/>
      <protection hidden="1"/>
    </xf>
    <xf numFmtId="202" fontId="2" fillId="2" borderId="3" xfId="1" applyNumberFormat="1" applyFont="1" applyFill="1" applyBorder="1" applyAlignment="1" applyProtection="1">
      <alignment horizontal="center"/>
      <protection hidden="1"/>
    </xf>
    <xf numFmtId="220" fontId="0" fillId="2" borderId="3" xfId="0" applyNumberFormat="1" applyFill="1" applyBorder="1" applyAlignment="1" applyProtection="1">
      <alignment horizontal="center"/>
      <protection hidden="1"/>
    </xf>
    <xf numFmtId="233" fontId="2" fillId="2" borderId="3" xfId="1" applyNumberFormat="1" applyFont="1" applyFill="1" applyBorder="1" applyAlignment="1" applyProtection="1">
      <alignment horizontal="center"/>
      <protection hidden="1"/>
    </xf>
    <xf numFmtId="221" fontId="0" fillId="2" borderId="3" xfId="0" applyNumberFormat="1" applyFill="1" applyBorder="1" applyAlignment="1" applyProtection="1">
      <alignment horizontal="center"/>
      <protection hidden="1"/>
    </xf>
    <xf numFmtId="203" fontId="6" fillId="2" borderId="3" xfId="1" applyNumberFormat="1" applyFont="1" applyFill="1" applyBorder="1" applyAlignment="1" applyProtection="1">
      <alignment horizontal="center"/>
      <protection hidden="1"/>
    </xf>
    <xf numFmtId="238" fontId="2" fillId="2" borderId="3" xfId="4" applyNumberFormat="1" applyFont="1" applyFill="1" applyBorder="1" applyAlignment="1" applyProtection="1">
      <alignment horizontal="center" vertical="center"/>
    </xf>
    <xf numFmtId="240" fontId="2" fillId="2" borderId="3" xfId="4" applyNumberFormat="1" applyFont="1" applyFill="1" applyBorder="1" applyAlignment="1" applyProtection="1">
      <alignment horizontal="center" vertical="center"/>
    </xf>
    <xf numFmtId="239" fontId="2" fillId="2" borderId="3" xfId="4" applyNumberFormat="1" applyFont="1" applyFill="1" applyBorder="1" applyAlignment="1" applyProtection="1">
      <alignment horizontal="center" vertical="center"/>
    </xf>
    <xf numFmtId="203" fontId="2" fillId="2" borderId="3" xfId="4" applyNumberFormat="1" applyFont="1" applyFill="1" applyBorder="1" applyAlignment="1" applyProtection="1">
      <alignment horizontal="center" vertical="center"/>
      <protection hidden="1"/>
    </xf>
    <xf numFmtId="0" fontId="1" fillId="2" borderId="3" xfId="3" applyFont="1" applyFill="1" applyBorder="1" applyAlignment="1" applyProtection="1">
      <alignment horizontal="left" wrapText="1" indent="2"/>
      <protection hidden="1"/>
    </xf>
    <xf numFmtId="0" fontId="1" fillId="2" borderId="3" xfId="0" applyFont="1" applyFill="1" applyBorder="1" applyAlignment="1" applyProtection="1">
      <alignment horizontal="left" indent="1"/>
    </xf>
    <xf numFmtId="286" fontId="0" fillId="2" borderId="3" xfId="0" applyNumberFormat="1" applyFill="1" applyBorder="1" applyAlignment="1" applyProtection="1">
      <alignment horizontal="center"/>
    </xf>
    <xf numFmtId="305" fontId="40" fillId="2" borderId="3" xfId="0" applyNumberFormat="1" applyFont="1" applyFill="1" applyBorder="1" applyAlignment="1" applyProtection="1">
      <alignment horizontal="center"/>
    </xf>
    <xf numFmtId="287" fontId="0" fillId="2" borderId="3" xfId="0" applyNumberFormat="1" applyFill="1" applyBorder="1" applyAlignment="1" applyProtection="1">
      <alignment horizontal="center"/>
    </xf>
    <xf numFmtId="288" fontId="0" fillId="2" borderId="3" xfId="0" applyNumberFormat="1" applyFill="1" applyBorder="1" applyAlignment="1" applyProtection="1">
      <alignment horizontal="center"/>
    </xf>
    <xf numFmtId="289" fontId="40" fillId="2" borderId="3" xfId="0" applyNumberFormat="1" applyFont="1" applyFill="1" applyBorder="1" applyAlignment="1" applyProtection="1">
      <alignment horizontal="center"/>
    </xf>
    <xf numFmtId="291" fontId="0" fillId="2" borderId="3" xfId="0" applyNumberFormat="1" applyFill="1" applyBorder="1" applyAlignment="1" applyProtection="1">
      <alignment horizontal="center"/>
    </xf>
    <xf numFmtId="289" fontId="41" fillId="2" borderId="3" xfId="0" applyNumberFormat="1" applyFont="1" applyFill="1" applyBorder="1" applyAlignment="1" applyProtection="1">
      <alignment horizontal="center"/>
    </xf>
    <xf numFmtId="293" fontId="0" fillId="2" borderId="3" xfId="0" applyNumberFormat="1" applyFill="1" applyBorder="1" applyAlignment="1" applyProtection="1">
      <alignment horizontal="center"/>
    </xf>
    <xf numFmtId="0" fontId="42" fillId="2" borderId="3" xfId="0" applyFont="1" applyFill="1" applyBorder="1" applyAlignment="1" applyProtection="1">
      <alignment horizontal="center"/>
    </xf>
    <xf numFmtId="169" fontId="0" fillId="2" borderId="3" xfId="0" applyNumberFormat="1" applyFill="1" applyBorder="1" applyAlignment="1" applyProtection="1">
      <alignment horizontal="center"/>
    </xf>
    <xf numFmtId="286" fontId="40" fillId="2" borderId="3" xfId="0" applyNumberFormat="1" applyFont="1" applyFill="1" applyBorder="1" applyAlignment="1" applyProtection="1">
      <alignment horizontal="center"/>
    </xf>
    <xf numFmtId="296" fontId="0" fillId="2" borderId="3" xfId="0" applyNumberFormat="1" applyFill="1" applyBorder="1" applyAlignment="1" applyProtection="1">
      <alignment horizontal="center"/>
    </xf>
    <xf numFmtId="297" fontId="40" fillId="2" borderId="3" xfId="0" applyNumberFormat="1" applyFont="1" applyFill="1" applyBorder="1" applyAlignment="1" applyProtection="1">
      <alignment horizontal="center"/>
    </xf>
    <xf numFmtId="209" fontId="0" fillId="2" borderId="3" xfId="0" applyNumberFormat="1" applyFill="1" applyBorder="1" applyAlignment="1" applyProtection="1">
      <alignment horizontal="center"/>
    </xf>
    <xf numFmtId="299" fontId="0" fillId="2" borderId="3" xfId="0" applyNumberFormat="1" applyFill="1" applyBorder="1" applyAlignment="1" applyProtection="1">
      <alignment horizontal="center"/>
    </xf>
    <xf numFmtId="0" fontId="0" fillId="2" borderId="3" xfId="0" applyFill="1" applyBorder="1" applyAlignment="1" applyProtection="1">
      <alignment horizontal="center"/>
    </xf>
    <xf numFmtId="321" fontId="40" fillId="2" borderId="3" xfId="0" applyNumberFormat="1" applyFont="1" applyFill="1" applyBorder="1" applyAlignment="1" applyProtection="1">
      <alignment horizontal="center"/>
    </xf>
    <xf numFmtId="166" fontId="43" fillId="9" borderId="3" xfId="1" applyNumberFormat="1" applyFont="1" applyFill="1" applyBorder="1" applyAlignment="1" applyProtection="1">
      <alignment horizontal="center"/>
      <protection hidden="1"/>
    </xf>
    <xf numFmtId="303" fontId="0" fillId="2" borderId="0" xfId="0" applyNumberFormat="1" applyFill="1" applyBorder="1" applyAlignment="1" applyProtection="1">
      <alignment horizontal="center"/>
      <protection hidden="1"/>
    </xf>
    <xf numFmtId="0" fontId="1" fillId="2" borderId="0" xfId="6" applyFill="1" applyBorder="1" applyAlignment="1" applyProtection="1">
      <alignment horizontal="center"/>
    </xf>
    <xf numFmtId="0" fontId="8" fillId="9" borderId="3" xfId="6" applyFont="1" applyFill="1" applyBorder="1" applyAlignment="1" applyProtection="1">
      <alignment horizontal="left" indent="1"/>
      <protection hidden="1"/>
    </xf>
    <xf numFmtId="193" fontId="1" fillId="2" borderId="3" xfId="0" applyNumberFormat="1" applyFont="1" applyFill="1" applyBorder="1" applyAlignment="1" applyProtection="1">
      <alignment horizontal="center"/>
      <protection hidden="1"/>
    </xf>
    <xf numFmtId="214" fontId="1" fillId="2" borderId="3" xfId="6" applyNumberFormat="1" applyFont="1" applyFill="1" applyBorder="1" applyAlignment="1" applyProtection="1">
      <alignment horizontal="center"/>
      <protection hidden="1"/>
    </xf>
    <xf numFmtId="2" fontId="8" fillId="9" borderId="3" xfId="6" applyNumberFormat="1" applyFont="1" applyFill="1" applyBorder="1" applyAlignment="1" applyProtection="1">
      <alignment horizontal="left" indent="1"/>
      <protection hidden="1"/>
    </xf>
    <xf numFmtId="214" fontId="6" fillId="2" borderId="3" xfId="6" applyNumberFormat="1" applyFont="1" applyFill="1" applyBorder="1" applyAlignment="1" applyProtection="1">
      <alignment horizontal="center"/>
      <protection hidden="1"/>
    </xf>
    <xf numFmtId="284" fontId="1" fillId="2" borderId="12" xfId="6" applyNumberFormat="1" applyFont="1" applyFill="1" applyBorder="1" applyAlignment="1" applyProtection="1">
      <alignment horizontal="center"/>
    </xf>
    <xf numFmtId="0" fontId="39" fillId="9" borderId="3" xfId="0" applyFont="1" applyFill="1" applyBorder="1" applyAlignment="1" applyProtection="1">
      <alignment horizontal="center" vertical="center"/>
    </xf>
    <xf numFmtId="287" fontId="6" fillId="9" borderId="3" xfId="0" applyNumberFormat="1" applyFont="1" applyFill="1" applyBorder="1" applyAlignment="1" applyProtection="1">
      <alignment horizontal="center"/>
    </xf>
    <xf numFmtId="301" fontId="1" fillId="2" borderId="3" xfId="0" applyNumberFormat="1" applyFont="1" applyFill="1" applyBorder="1" applyAlignment="1" applyProtection="1">
      <alignment horizontal="center" vertical="center"/>
    </xf>
    <xf numFmtId="0" fontId="43" fillId="9" borderId="3" xfId="4" applyFont="1" applyFill="1" applyBorder="1" applyAlignment="1" applyProtection="1">
      <alignment horizontal="center" vertical="center"/>
      <protection hidden="1"/>
    </xf>
    <xf numFmtId="0" fontId="43" fillId="9" borderId="3" xfId="4" applyFont="1" applyFill="1" applyBorder="1" applyAlignment="1" applyProtection="1">
      <alignment horizontal="center" vertical="center" wrapText="1"/>
      <protection hidden="1"/>
    </xf>
    <xf numFmtId="195" fontId="1" fillId="2" borderId="3" xfId="4" applyNumberFormat="1" applyFont="1" applyFill="1" applyBorder="1" applyAlignment="1" applyProtection="1">
      <alignment horizontal="center" vertical="center"/>
    </xf>
    <xf numFmtId="214" fontId="1" fillId="2" borderId="3" xfId="4" applyNumberFormat="1" applyFont="1" applyFill="1" applyBorder="1" applyAlignment="1" applyProtection="1">
      <alignment horizontal="center" vertical="center"/>
      <protection hidden="1"/>
    </xf>
    <xf numFmtId="236" fontId="6" fillId="2" borderId="13" xfId="4" applyNumberFormat="1" applyFont="1" applyFill="1" applyBorder="1" applyAlignment="1" applyProtection="1">
      <alignment horizontal="center"/>
      <protection hidden="1"/>
    </xf>
    <xf numFmtId="3" fontId="6" fillId="2" borderId="14" xfId="4" applyNumberFormat="1" applyFont="1" applyFill="1" applyBorder="1" applyProtection="1">
      <protection hidden="1"/>
    </xf>
    <xf numFmtId="0" fontId="32" fillId="2" borderId="12" xfId="3" applyFont="1" applyFill="1" applyBorder="1" applyAlignment="1" applyProtection="1">
      <alignment vertical="center"/>
      <protection hidden="1"/>
    </xf>
    <xf numFmtId="0" fontId="31" fillId="2" borderId="13" xfId="3" applyFont="1" applyFill="1" applyBorder="1" applyAlignment="1" applyProtection="1">
      <alignment horizontal="right" vertical="center"/>
      <protection hidden="1"/>
    </xf>
    <xf numFmtId="203" fontId="31" fillId="2" borderId="14" xfId="3" applyNumberFormat="1" applyFont="1" applyFill="1" applyBorder="1" applyAlignment="1" applyProtection="1">
      <alignment horizontal="center" vertical="center"/>
      <protection hidden="1"/>
    </xf>
    <xf numFmtId="278" fontId="27" fillId="10" borderId="3" xfId="1" applyNumberFormat="1" applyFont="1" applyFill="1" applyBorder="1" applyAlignment="1" applyProtection="1">
      <alignment horizontal="center"/>
      <protection locked="0"/>
    </xf>
    <xf numFmtId="215" fontId="27" fillId="10" borderId="3" xfId="1" applyNumberFormat="1" applyFont="1" applyFill="1" applyBorder="1" applyAlignment="1" applyProtection="1">
      <alignment horizontal="center"/>
      <protection locked="0"/>
    </xf>
    <xf numFmtId="216" fontId="27" fillId="10" borderId="3" xfId="1" applyNumberFormat="1" applyFont="1" applyFill="1" applyBorder="1" applyAlignment="1" applyProtection="1">
      <alignment horizontal="center"/>
      <protection locked="0"/>
    </xf>
    <xf numFmtId="217" fontId="27" fillId="10" borderId="3" xfId="3" applyNumberFormat="1" applyFont="1" applyFill="1" applyBorder="1" applyAlignment="1" applyProtection="1">
      <alignment horizontal="center"/>
      <protection locked="0"/>
    </xf>
    <xf numFmtId="237" fontId="2" fillId="10" borderId="3" xfId="4" applyNumberFormat="1" applyFont="1" applyFill="1" applyBorder="1" applyAlignment="1" applyProtection="1">
      <alignment horizontal="left" vertical="center" indent="2"/>
      <protection locked="0"/>
    </xf>
    <xf numFmtId="241" fontId="2" fillId="10" borderId="3" xfId="3" applyNumberFormat="1" applyFont="1" applyFill="1" applyBorder="1" applyAlignment="1" applyProtection="1">
      <alignment vertical="center"/>
      <protection locked="0" hidden="1"/>
    </xf>
    <xf numFmtId="213" fontId="1" fillId="10" borderId="3" xfId="4" applyNumberFormat="1" applyFont="1" applyFill="1" applyBorder="1" applyAlignment="1" applyProtection="1">
      <alignment horizontal="center" vertical="center"/>
      <protection locked="0"/>
    </xf>
    <xf numFmtId="213" fontId="2" fillId="10" borderId="3" xfId="4" applyNumberFormat="1" applyFont="1" applyFill="1" applyBorder="1" applyAlignment="1" applyProtection="1">
      <alignment horizontal="center" vertical="center"/>
      <protection locked="0"/>
    </xf>
    <xf numFmtId="214" fontId="2" fillId="10" borderId="3" xfId="4" applyNumberFormat="1" applyFont="1" applyFill="1" applyBorder="1" applyAlignment="1" applyProtection="1">
      <alignment horizontal="center" vertical="center"/>
      <protection locked="0" hidden="1"/>
    </xf>
    <xf numFmtId="195" fontId="2" fillId="10" borderId="3" xfId="4" applyNumberFormat="1" applyFont="1" applyFill="1" applyBorder="1" applyAlignment="1" applyProtection="1">
      <alignment horizontal="center" vertical="center"/>
      <protection locked="0"/>
    </xf>
    <xf numFmtId="194" fontId="1" fillId="10" borderId="3" xfId="4" applyNumberFormat="1" applyFont="1" applyFill="1" applyBorder="1" applyAlignment="1" applyProtection="1">
      <alignment horizontal="center" vertical="center"/>
      <protection locked="0"/>
    </xf>
    <xf numFmtId="194" fontId="2" fillId="10" borderId="3" xfId="4" applyNumberFormat="1" applyFont="1" applyFill="1" applyBorder="1" applyAlignment="1" applyProtection="1">
      <alignment horizontal="center" vertical="center"/>
      <protection locked="0"/>
    </xf>
    <xf numFmtId="287" fontId="0" fillId="10" borderId="3" xfId="0" applyNumberFormat="1" applyFill="1" applyBorder="1" applyAlignment="1" applyProtection="1">
      <alignment horizontal="center"/>
      <protection locked="0"/>
    </xf>
    <xf numFmtId="290" fontId="0" fillId="10" borderId="3" xfId="0" applyNumberFormat="1" applyFill="1" applyBorder="1" applyAlignment="1" applyProtection="1">
      <alignment horizontal="center"/>
      <protection locked="0"/>
    </xf>
    <xf numFmtId="294" fontId="0" fillId="10" borderId="3" xfId="0" applyNumberFormat="1" applyFill="1" applyBorder="1" applyAlignment="1" applyProtection="1">
      <alignment horizontal="center"/>
      <protection locked="0"/>
    </xf>
    <xf numFmtId="295" fontId="0" fillId="10" borderId="3" xfId="0" applyNumberFormat="1" applyFill="1" applyBorder="1" applyAlignment="1" applyProtection="1">
      <alignment horizontal="center"/>
      <protection locked="0"/>
    </xf>
    <xf numFmtId="298" fontId="1" fillId="10" borderId="3" xfId="0" applyNumberFormat="1" applyFont="1" applyFill="1" applyBorder="1" applyAlignment="1" applyProtection="1">
      <alignment horizontal="center"/>
      <protection locked="0"/>
    </xf>
    <xf numFmtId="319" fontId="1" fillId="10" borderId="3" xfId="0" applyNumberFormat="1" applyFont="1" applyFill="1" applyBorder="1" applyAlignment="1" applyProtection="1">
      <alignment horizontal="center"/>
      <protection locked="0"/>
    </xf>
    <xf numFmtId="320" fontId="1" fillId="10" borderId="3" xfId="0" applyNumberFormat="1" applyFont="1" applyFill="1" applyBorder="1" applyAlignment="1" applyProtection="1">
      <alignment horizontal="center"/>
      <protection locked="0"/>
    </xf>
    <xf numFmtId="301" fontId="1" fillId="10" borderId="3" xfId="0" applyNumberFormat="1" applyFont="1" applyFill="1" applyBorder="1" applyAlignment="1" applyProtection="1">
      <alignment horizontal="center" vertical="center"/>
      <protection locked="0"/>
    </xf>
    <xf numFmtId="285" fontId="1" fillId="10" borderId="12" xfId="6" applyNumberFormat="1" applyFont="1" applyFill="1" applyBorder="1" applyAlignment="1" applyProtection="1">
      <alignment horizontal="center"/>
      <protection locked="0"/>
    </xf>
    <xf numFmtId="194" fontId="1" fillId="10" borderId="3" xfId="7"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left" vertical="top" indent="1"/>
      <protection hidden="1"/>
    </xf>
    <xf numFmtId="211" fontId="2" fillId="2" borderId="3" xfId="0" applyNumberFormat="1" applyFont="1" applyFill="1" applyBorder="1" applyAlignment="1" applyProtection="1">
      <alignment horizontal="center" vertical="center"/>
      <protection hidden="1"/>
    </xf>
    <xf numFmtId="275" fontId="2" fillId="2" borderId="3" xfId="0" applyNumberFormat="1" applyFont="1" applyFill="1" applyBorder="1" applyAlignment="1" applyProtection="1">
      <alignment horizontal="center" vertical="center"/>
    </xf>
    <xf numFmtId="2" fontId="2" fillId="10" borderId="3" xfId="1" applyNumberFormat="1" applyFont="1" applyFill="1" applyBorder="1" applyAlignment="1" applyProtection="1">
      <alignment horizontal="center" vertical="center"/>
      <protection locked="0"/>
    </xf>
    <xf numFmtId="193" fontId="2" fillId="2" borderId="3" xfId="0" applyNumberFormat="1" applyFont="1" applyFill="1" applyBorder="1" applyAlignment="1" applyProtection="1">
      <alignment horizontal="right" vertical="center"/>
      <protection hidden="1"/>
    </xf>
    <xf numFmtId="275" fontId="2" fillId="0" borderId="3" xfId="0" applyNumberFormat="1" applyFont="1" applyFill="1" applyBorder="1" applyAlignment="1" applyProtection="1">
      <alignment horizontal="center" vertical="center"/>
      <protection hidden="1"/>
    </xf>
    <xf numFmtId="2" fontId="2" fillId="2" borderId="3" xfId="0" applyNumberFormat="1" applyFont="1" applyFill="1" applyBorder="1" applyAlignment="1" applyProtection="1">
      <alignment horizontal="center" vertical="center"/>
      <protection hidden="1"/>
    </xf>
    <xf numFmtId="193" fontId="2" fillId="10" borderId="3" xfId="0" applyNumberFormat="1" applyFont="1" applyFill="1" applyBorder="1" applyAlignment="1" applyProtection="1">
      <alignment horizontal="right" vertical="center"/>
      <protection locked="0" hidden="1"/>
    </xf>
    <xf numFmtId="0" fontId="1" fillId="2" borderId="3" xfId="0" applyFont="1" applyFill="1" applyBorder="1" applyAlignment="1" applyProtection="1">
      <alignment horizontal="left" indent="1"/>
      <protection hidden="1"/>
    </xf>
    <xf numFmtId="212" fontId="2" fillId="2" borderId="3" xfId="0" applyNumberFormat="1" applyFont="1" applyFill="1" applyBorder="1" applyAlignment="1" applyProtection="1">
      <alignment horizontal="center" vertical="center"/>
      <protection hidden="1"/>
    </xf>
    <xf numFmtId="275" fontId="2" fillId="2" borderId="3" xfId="0" applyNumberFormat="1" applyFont="1" applyFill="1" applyBorder="1" applyAlignment="1" applyProtection="1">
      <alignment horizontal="center" vertical="center"/>
      <protection hidden="1"/>
    </xf>
    <xf numFmtId="164" fontId="2" fillId="2" borderId="3" xfId="0" applyNumberFormat="1" applyFont="1" applyFill="1" applyBorder="1" applyAlignment="1" applyProtection="1">
      <alignment horizontal="center" vertical="center"/>
      <protection hidden="1"/>
    </xf>
    <xf numFmtId="193" fontId="2" fillId="2" borderId="3" xfId="0" applyNumberFormat="1" applyFont="1" applyFill="1" applyBorder="1" applyAlignment="1" applyProtection="1">
      <alignment horizontal="center" vertical="center"/>
      <protection hidden="1"/>
    </xf>
    <xf numFmtId="269" fontId="2" fillId="10" borderId="3" xfId="0" applyNumberFormat="1" applyFont="1" applyFill="1" applyBorder="1" applyAlignment="1" applyProtection="1">
      <alignment horizontal="center" vertical="center"/>
      <protection locked="0" hidden="1"/>
    </xf>
    <xf numFmtId="181" fontId="2" fillId="2" borderId="3" xfId="0" applyNumberFormat="1" applyFont="1" applyFill="1" applyBorder="1" applyAlignment="1" applyProtection="1">
      <alignment horizontal="center" vertical="center"/>
      <protection hidden="1"/>
    </xf>
    <xf numFmtId="165" fontId="2" fillId="2" borderId="3" xfId="0" applyNumberFormat="1" applyFont="1" applyFill="1" applyBorder="1" applyAlignment="1" applyProtection="1">
      <alignment horizontal="center" vertical="center"/>
      <protection hidden="1"/>
    </xf>
    <xf numFmtId="269" fontId="2" fillId="2" borderId="3" xfId="0" applyNumberFormat="1" applyFont="1" applyFill="1" applyBorder="1" applyAlignment="1" applyProtection="1">
      <alignment horizontal="center" vertical="center"/>
      <protection hidden="1"/>
    </xf>
    <xf numFmtId="193" fontId="6" fillId="9" borderId="3" xfId="0" applyNumberFormat="1" applyFont="1" applyFill="1" applyBorder="1" applyAlignment="1" applyProtection="1">
      <alignment horizontal="right" vertical="center"/>
      <protection hidden="1"/>
    </xf>
    <xf numFmtId="210" fontId="0" fillId="2" borderId="3" xfId="0" applyNumberFormat="1" applyFill="1" applyBorder="1" applyAlignment="1" applyProtection="1">
      <alignment horizontal="center"/>
      <protection hidden="1"/>
    </xf>
    <xf numFmtId="209" fontId="0" fillId="2" borderId="3" xfId="0" applyNumberFormat="1" applyFill="1" applyBorder="1" applyAlignment="1" applyProtection="1">
      <alignment horizontal="center"/>
      <protection hidden="1"/>
    </xf>
    <xf numFmtId="208" fontId="2" fillId="2" borderId="3" xfId="1" applyNumberFormat="1" applyFont="1" applyFill="1" applyBorder="1" applyAlignment="1" applyProtection="1">
      <alignment horizontal="center"/>
      <protection hidden="1"/>
    </xf>
    <xf numFmtId="209" fontId="2" fillId="2" borderId="3" xfId="1" applyNumberFormat="1" applyFont="1" applyFill="1" applyBorder="1" applyAlignment="1" applyProtection="1">
      <alignment horizontal="center"/>
      <protection hidden="1"/>
    </xf>
    <xf numFmtId="210" fontId="2" fillId="2" borderId="3" xfId="1" applyNumberFormat="1" applyFont="1" applyFill="1" applyBorder="1" applyAlignment="1" applyProtection="1">
      <alignment horizontal="center"/>
      <protection hidden="1"/>
    </xf>
    <xf numFmtId="184" fontId="0" fillId="2" borderId="3" xfId="0" applyNumberFormat="1" applyFill="1" applyBorder="1" applyAlignment="1" applyProtection="1">
      <alignment horizontal="center"/>
    </xf>
    <xf numFmtId="229" fontId="2" fillId="2" borderId="3" xfId="0" applyNumberFormat="1" applyFont="1" applyFill="1" applyBorder="1" applyAlignment="1" applyProtection="1">
      <alignment horizontal="right" vertical="center" indent="1"/>
      <protection hidden="1"/>
    </xf>
    <xf numFmtId="179" fontId="2" fillId="2" borderId="3" xfId="0" applyNumberFormat="1" applyFont="1" applyFill="1" applyBorder="1" applyAlignment="1" applyProtection="1">
      <alignment horizontal="right" vertical="center" indent="1"/>
      <protection hidden="1"/>
    </xf>
    <xf numFmtId="210" fontId="1" fillId="2" borderId="3" xfId="1" applyNumberFormat="1" applyFont="1" applyFill="1" applyBorder="1" applyAlignment="1" applyProtection="1">
      <alignment horizontal="center"/>
      <protection hidden="1"/>
    </xf>
    <xf numFmtId="210" fontId="6" fillId="2" borderId="3" xfId="1" applyNumberFormat="1" applyFont="1" applyFill="1" applyBorder="1" applyAlignment="1" applyProtection="1">
      <alignment horizontal="center"/>
      <protection hidden="1"/>
    </xf>
    <xf numFmtId="209" fontId="6" fillId="2" borderId="3" xfId="1" applyNumberFormat="1" applyFont="1" applyFill="1" applyBorder="1" applyAlignment="1" applyProtection="1">
      <alignment horizontal="center"/>
      <protection hidden="1"/>
    </xf>
    <xf numFmtId="0" fontId="1" fillId="2" borderId="12" xfId="0" applyFont="1" applyFill="1" applyBorder="1" applyAlignment="1" applyProtection="1">
      <alignment horizontal="left" indent="2"/>
      <protection hidden="1"/>
    </xf>
    <xf numFmtId="0" fontId="1" fillId="2" borderId="14" xfId="0" applyFont="1" applyFill="1" applyBorder="1" applyAlignment="1" applyProtection="1">
      <alignment horizontal="left" indent="2"/>
      <protection hidden="1"/>
    </xf>
    <xf numFmtId="0" fontId="8" fillId="9" borderId="13" xfId="0" applyFont="1" applyFill="1" applyBorder="1" applyProtection="1">
      <protection hidden="1"/>
    </xf>
    <xf numFmtId="0" fontId="1" fillId="2" borderId="13" xfId="0" applyFont="1" applyFill="1" applyBorder="1" applyAlignment="1" applyProtection="1">
      <alignment horizontal="left" indent="2"/>
      <protection hidden="1"/>
    </xf>
    <xf numFmtId="0" fontId="0" fillId="2" borderId="12" xfId="0" applyFill="1" applyBorder="1" applyAlignment="1" applyProtection="1">
      <alignment horizontal="left" indent="2"/>
    </xf>
    <xf numFmtId="0" fontId="2" fillId="2" borderId="14" xfId="0" applyFont="1" applyFill="1" applyBorder="1" applyAlignment="1" applyProtection="1">
      <alignment horizontal="left" indent="2"/>
      <protection hidden="1"/>
    </xf>
    <xf numFmtId="0" fontId="1" fillId="2" borderId="3" xfId="0" applyFont="1" applyFill="1" applyBorder="1" applyAlignment="1" applyProtection="1">
      <alignment horizontal="left" vertical="center" indent="2"/>
      <protection hidden="1"/>
    </xf>
    <xf numFmtId="200" fontId="2" fillId="2" borderId="3" xfId="0" applyNumberFormat="1" applyFont="1" applyFill="1" applyBorder="1" applyAlignment="1" applyProtection="1">
      <alignment horizontal="center" vertical="center"/>
    </xf>
    <xf numFmtId="0" fontId="2" fillId="2" borderId="3" xfId="0" applyFont="1" applyFill="1" applyBorder="1" applyAlignment="1" applyProtection="1">
      <alignment horizontal="left" vertical="center" indent="2"/>
      <protection hidden="1"/>
    </xf>
    <xf numFmtId="0" fontId="2" fillId="2" borderId="3" xfId="2" applyFont="1" applyFill="1" applyBorder="1" applyAlignment="1" applyProtection="1">
      <alignment horizontal="left" vertical="center" indent="2"/>
      <protection hidden="1"/>
    </xf>
    <xf numFmtId="0" fontId="6" fillId="9" borderId="3" xfId="0" applyFont="1" applyFill="1" applyBorder="1" applyAlignment="1" applyProtection="1">
      <alignment horizontal="center" vertical="center"/>
      <protection hidden="1"/>
    </xf>
    <xf numFmtId="0" fontId="6" fillId="9" borderId="3" xfId="0" applyFont="1" applyFill="1" applyBorder="1" applyAlignment="1" applyProtection="1">
      <alignment horizontal="center" vertical="center" wrapText="1"/>
      <protection hidden="1"/>
    </xf>
    <xf numFmtId="0" fontId="1" fillId="10" borderId="3" xfId="0" quotePrefix="1"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16" fontId="1" fillId="10" borderId="3" xfId="0" quotePrefix="1" applyNumberFormat="1" applyFont="1" applyFill="1" applyBorder="1" applyAlignment="1" applyProtection="1">
      <alignment horizontal="center" vertical="center"/>
      <protection locked="0"/>
    </xf>
    <xf numFmtId="0" fontId="1" fillId="10" borderId="3" xfId="2" quotePrefix="1" applyFont="1" applyFill="1" applyBorder="1" applyAlignment="1" applyProtection="1">
      <alignment horizontal="center" vertical="center"/>
      <protection locked="0"/>
    </xf>
    <xf numFmtId="0" fontId="1" fillId="10" borderId="3" xfId="2" applyFont="1" applyFill="1" applyBorder="1" applyAlignment="1" applyProtection="1">
      <alignment horizontal="center" vertical="center"/>
      <protection locked="0"/>
    </xf>
    <xf numFmtId="0" fontId="43" fillId="9" borderId="3" xfId="0" applyFont="1" applyFill="1" applyBorder="1" applyAlignment="1" applyProtection="1">
      <alignment horizontal="center" vertical="center"/>
    </xf>
    <xf numFmtId="0" fontId="43" fillId="9" borderId="3" xfId="6" applyFont="1" applyFill="1" applyBorder="1" applyAlignment="1" applyProtection="1">
      <alignment horizontal="center" vertical="center" wrapText="1"/>
      <protection hidden="1"/>
    </xf>
    <xf numFmtId="0" fontId="43" fillId="9" borderId="12" xfId="6"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xf>
    <xf numFmtId="0" fontId="43" fillId="2" borderId="3" xfId="0" applyFont="1" applyFill="1" applyBorder="1" applyAlignment="1" applyProtection="1">
      <alignment horizontal="center" vertical="center"/>
      <protection hidden="1"/>
    </xf>
    <xf numFmtId="2" fontId="43" fillId="2" borderId="3" xfId="0" applyNumberFormat="1" applyFont="1" applyFill="1" applyBorder="1" applyAlignment="1" applyProtection="1">
      <alignment horizontal="center" vertical="center" wrapText="1"/>
      <protection hidden="1"/>
    </xf>
    <xf numFmtId="0" fontId="43" fillId="2" borderId="3" xfId="0" applyFont="1" applyFill="1" applyBorder="1" applyAlignment="1" applyProtection="1">
      <alignment horizontal="center" vertical="center" wrapText="1"/>
    </xf>
    <xf numFmtId="0" fontId="43" fillId="9" borderId="13" xfId="0" applyFont="1" applyFill="1" applyBorder="1" applyAlignment="1" applyProtection="1">
      <alignment horizontal="center"/>
      <protection hidden="1"/>
    </xf>
    <xf numFmtId="0" fontId="43" fillId="9" borderId="14" xfId="0" applyFont="1" applyFill="1" applyBorder="1" applyAlignment="1" applyProtection="1">
      <alignment horizontal="center"/>
      <protection hidden="1"/>
    </xf>
    <xf numFmtId="0" fontId="31" fillId="9" borderId="12" xfId="0" applyFont="1" applyFill="1" applyBorder="1" applyAlignment="1" applyProtection="1">
      <alignment horizontal="left" indent="1"/>
      <protection hidden="1"/>
    </xf>
    <xf numFmtId="0" fontId="31" fillId="3" borderId="12" xfId="0" applyFont="1" applyFill="1" applyBorder="1" applyAlignment="1" applyProtection="1">
      <alignment horizontal="left" indent="1"/>
      <protection hidden="1"/>
    </xf>
    <xf numFmtId="0" fontId="8" fillId="3" borderId="13" xfId="0" applyFont="1" applyFill="1" applyBorder="1" applyProtection="1">
      <protection hidden="1"/>
    </xf>
    <xf numFmtId="0" fontId="43" fillId="3" borderId="13" xfId="0" applyFont="1" applyFill="1" applyBorder="1" applyAlignment="1" applyProtection="1">
      <alignment horizontal="center"/>
      <protection hidden="1"/>
    </xf>
    <xf numFmtId="0" fontId="43" fillId="3" borderId="14" xfId="0" applyFont="1" applyFill="1" applyBorder="1" applyAlignment="1" applyProtection="1">
      <alignment horizontal="center"/>
      <protection hidden="1"/>
    </xf>
    <xf numFmtId="170" fontId="1" fillId="2" borderId="3" xfId="0" applyNumberFormat="1" applyFont="1" applyFill="1" applyBorder="1" applyAlignment="1" applyProtection="1">
      <alignment horizontal="left" indent="3"/>
      <protection hidden="1"/>
    </xf>
    <xf numFmtId="253" fontId="1" fillId="2" borderId="3" xfId="1" applyNumberFormat="1" applyFont="1" applyFill="1" applyBorder="1" applyAlignment="1" applyProtection="1">
      <alignment horizontal="right" indent="1"/>
      <protection hidden="1"/>
    </xf>
    <xf numFmtId="0" fontId="1" fillId="2" borderId="3" xfId="0" applyFont="1" applyFill="1" applyBorder="1" applyAlignment="1" applyProtection="1">
      <alignment horizontal="left" indent="3"/>
      <protection hidden="1"/>
    </xf>
    <xf numFmtId="196" fontId="27" fillId="10" borderId="3" xfId="0" applyNumberFormat="1" applyFont="1" applyFill="1" applyBorder="1" applyAlignment="1" applyProtection="1">
      <alignment horizontal="right" indent="1"/>
      <protection locked="0"/>
    </xf>
    <xf numFmtId="254" fontId="27" fillId="2" borderId="3" xfId="0" applyNumberFormat="1" applyFont="1" applyFill="1" applyBorder="1" applyAlignment="1" applyProtection="1">
      <alignment horizontal="right" indent="1"/>
    </xf>
    <xf numFmtId="199" fontId="27" fillId="2" borderId="3" xfId="0" applyNumberFormat="1" applyFont="1" applyFill="1" applyBorder="1" applyAlignment="1" applyProtection="1">
      <alignment horizontal="right" indent="1"/>
    </xf>
    <xf numFmtId="0" fontId="17" fillId="2" borderId="3" xfId="0" applyFont="1" applyFill="1" applyBorder="1" applyAlignment="1" applyProtection="1">
      <alignment horizontal="left" vertical="center" wrapText="1" indent="3"/>
      <protection hidden="1"/>
    </xf>
    <xf numFmtId="2" fontId="1" fillId="10" borderId="3" xfId="1" applyNumberFormat="1" applyFont="1" applyFill="1" applyBorder="1" applyAlignment="1" applyProtection="1">
      <alignment horizontal="right" vertical="center" indent="1"/>
      <protection locked="0" hidden="1"/>
    </xf>
    <xf numFmtId="195" fontId="27" fillId="2" borderId="3" xfId="0" applyNumberFormat="1" applyFont="1" applyFill="1" applyBorder="1" applyAlignment="1" applyProtection="1">
      <alignment horizontal="right" indent="1"/>
    </xf>
    <xf numFmtId="272" fontId="1" fillId="2" borderId="3" xfId="1" applyNumberFormat="1" applyFont="1" applyFill="1" applyBorder="1" applyAlignment="1" applyProtection="1">
      <alignment horizontal="right" indent="1"/>
      <protection hidden="1"/>
    </xf>
    <xf numFmtId="283" fontId="27" fillId="10" borderId="3" xfId="0" applyNumberFormat="1" applyFont="1" applyFill="1" applyBorder="1" applyAlignment="1" applyProtection="1">
      <alignment horizontal="right" indent="1"/>
      <protection locked="0"/>
    </xf>
    <xf numFmtId="171" fontId="1" fillId="2" borderId="3" xfId="0" applyNumberFormat="1" applyFont="1" applyFill="1" applyBorder="1" applyAlignment="1" applyProtection="1">
      <alignment horizontal="left" indent="3"/>
      <protection hidden="1"/>
    </xf>
    <xf numFmtId="197" fontId="2" fillId="2" borderId="3" xfId="1" applyNumberFormat="1" applyFont="1" applyFill="1" applyBorder="1" applyAlignment="1" applyProtection="1">
      <alignment horizontal="right" indent="1"/>
      <protection hidden="1"/>
    </xf>
    <xf numFmtId="0" fontId="2" fillId="2" borderId="3" xfId="0" applyFont="1" applyFill="1" applyBorder="1" applyAlignment="1" applyProtection="1">
      <alignment horizontal="left" indent="3"/>
      <protection hidden="1"/>
    </xf>
    <xf numFmtId="171" fontId="2" fillId="2" borderId="3" xfId="0" applyNumberFormat="1" applyFont="1" applyFill="1" applyBorder="1" applyAlignment="1" applyProtection="1">
      <alignment horizontal="left" indent="3"/>
      <protection hidden="1"/>
    </xf>
    <xf numFmtId="296" fontId="2" fillId="2" borderId="3" xfId="1" applyNumberFormat="1" applyFont="1" applyFill="1" applyBorder="1" applyAlignment="1" applyProtection="1">
      <alignment horizontal="right" indent="1"/>
      <protection hidden="1"/>
    </xf>
    <xf numFmtId="259" fontId="27" fillId="2" borderId="3" xfId="0" applyNumberFormat="1" applyFont="1" applyFill="1" applyBorder="1" applyAlignment="1" applyProtection="1">
      <alignment horizontal="right" indent="1"/>
    </xf>
    <xf numFmtId="169" fontId="2" fillId="2" borderId="3" xfId="1" applyNumberFormat="1" applyFont="1" applyFill="1" applyBorder="1" applyAlignment="1" applyProtection="1">
      <alignment horizontal="right" indent="1"/>
      <protection hidden="1"/>
    </xf>
    <xf numFmtId="270" fontId="27" fillId="10" borderId="3" xfId="0" applyNumberFormat="1" applyFont="1" applyFill="1" applyBorder="1" applyAlignment="1" applyProtection="1">
      <alignment horizontal="right" indent="1"/>
      <protection locked="0"/>
    </xf>
    <xf numFmtId="0" fontId="1" fillId="2" borderId="3" xfId="0" applyFont="1" applyFill="1" applyBorder="1" applyAlignment="1" applyProtection="1">
      <alignment horizontal="left" wrapText="1" indent="1"/>
      <protection hidden="1"/>
    </xf>
    <xf numFmtId="235" fontId="2" fillId="2" borderId="3" xfId="0" applyNumberFormat="1" applyFont="1" applyFill="1" applyBorder="1" applyAlignment="1" applyProtection="1">
      <alignment horizontal="right" vertical="center" indent="1"/>
      <protection hidden="1"/>
    </xf>
    <xf numFmtId="0" fontId="17" fillId="2" borderId="3" xfId="0" applyFont="1" applyFill="1" applyBorder="1" applyAlignment="1" applyProtection="1">
      <alignment horizontal="left" vertical="center" wrapText="1" indent="1"/>
      <protection hidden="1"/>
    </xf>
    <xf numFmtId="2" fontId="2" fillId="10" borderId="3" xfId="1" applyNumberFormat="1" applyFont="1" applyFill="1" applyBorder="1" applyAlignment="1" applyProtection="1">
      <alignment horizontal="right" vertical="center" indent="1"/>
      <protection locked="0" hidden="1"/>
    </xf>
    <xf numFmtId="185" fontId="2" fillId="2" borderId="3" xfId="1" applyNumberFormat="1" applyFont="1" applyFill="1" applyBorder="1" applyAlignment="1" applyProtection="1">
      <alignment horizontal="right" indent="1"/>
      <protection hidden="1"/>
    </xf>
    <xf numFmtId="2" fontId="2" fillId="10" borderId="3" xfId="1" applyNumberFormat="1" applyFont="1" applyFill="1" applyBorder="1" applyAlignment="1" applyProtection="1">
      <alignment horizontal="right" indent="1"/>
      <protection locked="0" hidden="1"/>
    </xf>
    <xf numFmtId="187" fontId="2" fillId="2" borderId="3" xfId="1" applyNumberFormat="1" applyFont="1" applyFill="1" applyBorder="1" applyAlignment="1" applyProtection="1">
      <alignment horizontal="right" indent="1"/>
      <protection hidden="1"/>
    </xf>
    <xf numFmtId="0" fontId="31" fillId="9" borderId="3" xfId="0" applyFont="1" applyFill="1" applyBorder="1" applyAlignment="1" applyProtection="1">
      <alignment horizontal="left" indent="1"/>
      <protection hidden="1"/>
    </xf>
    <xf numFmtId="0" fontId="6" fillId="9" borderId="3" xfId="0" applyFont="1" applyFill="1" applyBorder="1" applyAlignment="1" applyProtection="1">
      <alignment horizontal="left" wrapText="1" indent="1"/>
      <protection hidden="1"/>
    </xf>
    <xf numFmtId="188" fontId="6" fillId="9" borderId="3" xfId="0" applyNumberFormat="1" applyFont="1" applyFill="1" applyBorder="1" applyAlignment="1" applyProtection="1">
      <alignment horizontal="right" vertical="center" indent="1"/>
      <protection hidden="1"/>
    </xf>
    <xf numFmtId="0" fontId="6" fillId="9" borderId="3" xfId="0" applyFont="1" applyFill="1" applyBorder="1" applyAlignment="1" applyProtection="1">
      <alignment horizontal="left" indent="1"/>
      <protection hidden="1"/>
    </xf>
    <xf numFmtId="186" fontId="6" fillId="9" borderId="3" xfId="1" applyNumberFormat="1" applyFont="1" applyFill="1" applyBorder="1" applyAlignment="1" applyProtection="1">
      <alignment horizontal="right" indent="1"/>
      <protection hidden="1"/>
    </xf>
    <xf numFmtId="185" fontId="6" fillId="9" borderId="3" xfId="1" applyNumberFormat="1" applyFont="1" applyFill="1" applyBorder="1" applyAlignment="1" applyProtection="1">
      <alignment horizontal="right" indent="1"/>
      <protection hidden="1"/>
    </xf>
    <xf numFmtId="0" fontId="6" fillId="2" borderId="3" xfId="0" applyFont="1" applyFill="1" applyBorder="1" applyAlignment="1" applyProtection="1">
      <alignment horizontal="center"/>
      <protection hidden="1"/>
    </xf>
    <xf numFmtId="0" fontId="10" fillId="2" borderId="3" xfId="0" applyFont="1" applyFill="1" applyBorder="1" applyAlignment="1" applyProtection="1">
      <alignment horizontal="center"/>
      <protection hidden="1"/>
    </xf>
    <xf numFmtId="0" fontId="0" fillId="2" borderId="3" xfId="0" applyFill="1" applyBorder="1" applyProtection="1">
      <protection hidden="1"/>
    </xf>
    <xf numFmtId="0" fontId="10" fillId="2" borderId="3" xfId="0" applyFont="1" applyFill="1" applyBorder="1" applyAlignment="1" applyProtection="1">
      <alignment horizontal="center" wrapText="1"/>
      <protection hidden="1"/>
    </xf>
    <xf numFmtId="0" fontId="2" fillId="2" borderId="3" xfId="0" applyFont="1" applyFill="1" applyBorder="1" applyAlignment="1" applyProtection="1">
      <alignment horizontal="left" wrapText="1" indent="1"/>
      <protection hidden="1"/>
    </xf>
    <xf numFmtId="204" fontId="0" fillId="2" borderId="3" xfId="0" applyNumberFormat="1" applyFill="1" applyBorder="1" applyAlignment="1" applyProtection="1">
      <alignment horizontal="center"/>
      <protection hidden="1"/>
    </xf>
    <xf numFmtId="232" fontId="0" fillId="2" borderId="3" xfId="0" applyNumberFormat="1" applyFill="1" applyBorder="1" applyAlignment="1" applyProtection="1">
      <alignment horizontal="center"/>
      <protection hidden="1"/>
    </xf>
    <xf numFmtId="43" fontId="2" fillId="2" borderId="3" xfId="1" applyFont="1" applyFill="1" applyBorder="1" applyAlignment="1" applyProtection="1">
      <alignment horizontal="center" vertical="center"/>
      <protection hidden="1"/>
    </xf>
    <xf numFmtId="193" fontId="2" fillId="2" borderId="3" xfId="0" applyNumberFormat="1" applyFont="1" applyFill="1" applyBorder="1" applyAlignment="1" applyProtection="1">
      <alignment horizontal="center"/>
      <protection hidden="1"/>
    </xf>
    <xf numFmtId="189" fontId="0" fillId="2" borderId="3" xfId="0" applyNumberFormat="1" applyFill="1" applyBorder="1" applyAlignment="1" applyProtection="1">
      <alignment horizontal="center"/>
      <protection hidden="1"/>
    </xf>
    <xf numFmtId="231" fontId="2" fillId="2" borderId="3" xfId="1" applyNumberFormat="1" applyFont="1" applyFill="1" applyBorder="1" applyAlignment="1" applyProtection="1">
      <alignment horizontal="center"/>
      <protection hidden="1"/>
    </xf>
    <xf numFmtId="234" fontId="2" fillId="2" borderId="3" xfId="1" applyNumberFormat="1" applyFont="1" applyFill="1" applyBorder="1" applyAlignment="1" applyProtection="1">
      <alignment horizontal="center"/>
      <protection hidden="1"/>
    </xf>
    <xf numFmtId="3" fontId="2" fillId="2" borderId="3" xfId="0" applyNumberFormat="1" applyFont="1" applyFill="1" applyBorder="1" applyAlignment="1" applyProtection="1">
      <alignment horizontal="center"/>
    </xf>
    <xf numFmtId="3" fontId="2" fillId="2" borderId="3" xfId="0" applyNumberFormat="1" applyFont="1" applyFill="1" applyBorder="1" applyAlignment="1" applyProtection="1">
      <alignment horizontal="right"/>
    </xf>
    <xf numFmtId="3" fontId="2" fillId="2" borderId="3" xfId="0" applyNumberFormat="1" applyFont="1" applyFill="1" applyBorder="1" applyAlignment="1" applyProtection="1">
      <alignment horizontal="right"/>
      <protection hidden="1"/>
    </xf>
    <xf numFmtId="193" fontId="2" fillId="2" borderId="3" xfId="0" applyNumberFormat="1" applyFont="1" applyFill="1" applyBorder="1" applyAlignment="1" applyProtection="1">
      <alignment horizontal="right"/>
      <protection hidden="1"/>
    </xf>
    <xf numFmtId="210" fontId="2" fillId="2" borderId="3" xfId="1" applyNumberFormat="1" applyFont="1" applyFill="1" applyBorder="1" applyAlignment="1" applyProtection="1">
      <alignment horizontal="center" vertical="center"/>
      <protection hidden="1"/>
    </xf>
    <xf numFmtId="310" fontId="2" fillId="2" borderId="3" xfId="1" applyNumberFormat="1" applyFont="1" applyFill="1" applyBorder="1" applyAlignment="1" applyProtection="1">
      <alignment horizontal="center" vertical="center"/>
      <protection hidden="1"/>
    </xf>
    <xf numFmtId="193" fontId="6" fillId="2" borderId="3" xfId="0" applyNumberFormat="1" applyFont="1" applyFill="1" applyBorder="1" applyAlignment="1" applyProtection="1">
      <alignment horizontal="center"/>
      <protection hidden="1"/>
    </xf>
    <xf numFmtId="3" fontId="2" fillId="10" borderId="3" xfId="0" applyNumberFormat="1" applyFont="1" applyFill="1" applyBorder="1" applyAlignment="1" applyProtection="1">
      <alignment horizontal="center"/>
      <protection locked="0"/>
    </xf>
    <xf numFmtId="0" fontId="43" fillId="9" borderId="3" xfId="0" applyFont="1" applyFill="1" applyBorder="1" applyAlignment="1" applyProtection="1">
      <alignment horizontal="center" vertical="center" wrapText="1"/>
      <protection hidden="1"/>
    </xf>
    <xf numFmtId="0" fontId="47" fillId="9" borderId="3" xfId="0" applyFont="1" applyFill="1" applyBorder="1" applyAlignment="1" applyProtection="1">
      <alignment horizontal="center" vertical="center" wrapText="1"/>
      <protection hidden="1"/>
    </xf>
    <xf numFmtId="0" fontId="47" fillId="9" borderId="3" xfId="0" applyFont="1" applyFill="1" applyBorder="1" applyAlignment="1" applyProtection="1">
      <alignment horizontal="center" vertical="center"/>
      <protection hidden="1"/>
    </xf>
    <xf numFmtId="0" fontId="1" fillId="2" borderId="3" xfId="0" applyFont="1" applyFill="1" applyBorder="1" applyAlignment="1" applyProtection="1">
      <alignment horizontal="right" indent="2"/>
      <protection hidden="1"/>
    </xf>
    <xf numFmtId="230" fontId="2" fillId="2" borderId="3" xfId="1" applyNumberFormat="1" applyFont="1" applyFill="1" applyBorder="1" applyAlignment="1" applyProtection="1">
      <alignment horizontal="center"/>
      <protection hidden="1"/>
    </xf>
    <xf numFmtId="191" fontId="2" fillId="2" borderId="3" xfId="1" applyNumberFormat="1" applyFont="1" applyFill="1" applyBorder="1" applyAlignment="1" applyProtection="1">
      <alignment horizontal="center"/>
      <protection hidden="1"/>
    </xf>
    <xf numFmtId="0" fontId="43" fillId="9" borderId="3" xfId="0" applyFont="1" applyFill="1" applyBorder="1" applyAlignment="1" applyProtection="1">
      <alignment horizontal="center"/>
      <protection hidden="1"/>
    </xf>
    <xf numFmtId="2" fontId="43" fillId="9" borderId="3" xfId="0" applyNumberFormat="1" applyFont="1" applyFill="1" applyBorder="1" applyAlignment="1" applyProtection="1">
      <alignment horizontal="center"/>
      <protection hidden="1"/>
    </xf>
    <xf numFmtId="0" fontId="31" fillId="9" borderId="3" xfId="0" applyFont="1" applyFill="1" applyBorder="1" applyAlignment="1" applyProtection="1">
      <alignment horizontal="left" indent="1"/>
    </xf>
    <xf numFmtId="0" fontId="6" fillId="4" borderId="3" xfId="0" applyFont="1" applyFill="1" applyBorder="1" applyAlignment="1" applyProtection="1">
      <alignment horizontal="left" indent="1"/>
      <protection hidden="1"/>
    </xf>
    <xf numFmtId="0" fontId="1" fillId="2" borderId="3" xfId="0" applyFont="1" applyFill="1" applyBorder="1" applyAlignment="1" applyProtection="1">
      <alignment horizontal="right" indent="3"/>
      <protection hidden="1"/>
    </xf>
    <xf numFmtId="192" fontId="2" fillId="2" borderId="3" xfId="1" applyNumberFormat="1" applyFont="1" applyFill="1" applyBorder="1" applyAlignment="1" applyProtection="1">
      <alignment horizontal="right" indent="1"/>
    </xf>
    <xf numFmtId="183" fontId="2" fillId="4" borderId="3" xfId="1" applyNumberFormat="1" applyFont="1" applyFill="1" applyBorder="1" applyAlignment="1" applyProtection="1">
      <alignment horizontal="right" indent="1"/>
    </xf>
    <xf numFmtId="258" fontId="2" fillId="2" borderId="3" xfId="1" applyNumberFormat="1" applyFont="1" applyFill="1" applyBorder="1" applyAlignment="1" applyProtection="1">
      <alignment horizontal="right" indent="1"/>
    </xf>
    <xf numFmtId="0" fontId="2" fillId="2" borderId="3" xfId="0" applyFont="1" applyFill="1" applyBorder="1" applyAlignment="1" applyProtection="1">
      <alignment horizontal="left" indent="2"/>
    </xf>
    <xf numFmtId="183" fontId="2" fillId="2" borderId="3" xfId="1" applyNumberFormat="1" applyFont="1" applyFill="1" applyBorder="1" applyAlignment="1" applyProtection="1">
      <alignment horizontal="right" indent="1"/>
    </xf>
    <xf numFmtId="307" fontId="2" fillId="2" borderId="3" xfId="0" applyNumberFormat="1" applyFont="1" applyFill="1" applyBorder="1" applyAlignment="1" applyProtection="1">
      <alignment horizontal="right" indent="1"/>
    </xf>
    <xf numFmtId="0" fontId="1" fillId="2" borderId="3" xfId="0" applyFont="1" applyFill="1" applyBorder="1" applyAlignment="1" applyProtection="1">
      <alignment horizontal="left" indent="2"/>
    </xf>
    <xf numFmtId="309" fontId="2" fillId="2" borderId="3" xfId="1" applyNumberFormat="1" applyFont="1" applyFill="1" applyBorder="1" applyAlignment="1" applyProtection="1">
      <alignment horizontal="right" indent="1"/>
      <protection hidden="1"/>
    </xf>
    <xf numFmtId="0" fontId="6" fillId="4" borderId="12" xfId="0" applyFont="1" applyFill="1" applyBorder="1" applyAlignment="1" applyProtection="1">
      <alignment horizontal="left" indent="1"/>
      <protection hidden="1"/>
    </xf>
    <xf numFmtId="183" fontId="2" fillId="4" borderId="14" xfId="1" applyNumberFormat="1" applyFont="1" applyFill="1" applyBorder="1" applyAlignment="1" applyProtection="1"/>
    <xf numFmtId="183" fontId="2" fillId="4" borderId="14" xfId="1" applyNumberFormat="1" applyFont="1" applyFill="1" applyBorder="1" applyAlignment="1" applyProtection="1">
      <alignment horizontal="right" indent="1"/>
    </xf>
    <xf numFmtId="192" fontId="2" fillId="10" borderId="3" xfId="1" applyNumberFormat="1" applyFont="1" applyFill="1" applyBorder="1" applyAlignment="1" applyProtection="1">
      <alignment horizontal="right" indent="1"/>
      <protection locked="0"/>
    </xf>
    <xf numFmtId="183" fontId="2" fillId="10" borderId="3" xfId="1" applyNumberFormat="1" applyFont="1" applyFill="1" applyBorder="1" applyAlignment="1" applyProtection="1">
      <alignment horizontal="right" indent="1"/>
      <protection locked="0"/>
    </xf>
    <xf numFmtId="274" fontId="2" fillId="10" borderId="3" xfId="1" applyNumberFormat="1" applyFont="1" applyFill="1" applyBorder="1" applyAlignment="1" applyProtection="1">
      <alignment horizontal="right" indent="1"/>
      <protection locked="0"/>
    </xf>
    <xf numFmtId="176" fontId="2" fillId="10" borderId="3" xfId="0" applyNumberFormat="1" applyFont="1" applyFill="1" applyBorder="1" applyAlignment="1" applyProtection="1">
      <alignment horizontal="right" indent="1"/>
      <protection locked="0"/>
    </xf>
    <xf numFmtId="312" fontId="1" fillId="10" borderId="3" xfId="0" applyNumberFormat="1" applyFont="1" applyFill="1" applyBorder="1" applyAlignment="1" applyProtection="1">
      <alignment horizontal="right" indent="1"/>
      <protection locked="0"/>
    </xf>
    <xf numFmtId="273" fontId="49" fillId="2" borderId="0" xfId="0" applyNumberFormat="1" applyFont="1" applyFill="1" applyProtection="1"/>
    <xf numFmtId="225" fontId="2" fillId="2" borderId="3" xfId="0" applyNumberFormat="1" applyFont="1" applyFill="1" applyBorder="1" applyAlignment="1" applyProtection="1">
      <alignment horizontal="right" vertical="center" indent="1"/>
      <protection hidden="1"/>
    </xf>
    <xf numFmtId="222" fontId="2" fillId="2" borderId="3" xfId="0" applyNumberFormat="1" applyFont="1" applyFill="1" applyBorder="1" applyAlignment="1" applyProtection="1">
      <alignment horizontal="right" vertical="center" indent="1"/>
      <protection hidden="1"/>
    </xf>
    <xf numFmtId="226" fontId="2" fillId="2" borderId="3" xfId="0" applyNumberFormat="1" applyFont="1" applyFill="1" applyBorder="1" applyAlignment="1" applyProtection="1">
      <alignment horizontal="right" vertical="center" indent="1"/>
      <protection hidden="1"/>
    </xf>
    <xf numFmtId="182" fontId="2" fillId="2" borderId="3" xfId="0" applyNumberFormat="1" applyFont="1" applyFill="1" applyBorder="1" applyAlignment="1" applyProtection="1">
      <alignment horizontal="right" vertical="center" indent="1"/>
      <protection hidden="1"/>
    </xf>
    <xf numFmtId="184" fontId="2" fillId="2" borderId="3" xfId="0" applyNumberFormat="1" applyFont="1" applyFill="1" applyBorder="1" applyAlignment="1" applyProtection="1">
      <alignment horizontal="right" vertical="center" indent="1"/>
      <protection hidden="1"/>
    </xf>
    <xf numFmtId="207" fontId="0" fillId="2" borderId="3" xfId="0" applyNumberFormat="1" applyFill="1" applyBorder="1" applyAlignment="1" applyProtection="1">
      <alignment horizontal="right" vertical="center" indent="1"/>
      <protection hidden="1"/>
    </xf>
    <xf numFmtId="0" fontId="1" fillId="2" borderId="3" xfId="0" applyFont="1" applyFill="1" applyBorder="1" applyAlignment="1" applyProtection="1">
      <alignment horizontal="left" vertical="center" wrapText="1" indent="1"/>
      <protection hidden="1"/>
    </xf>
    <xf numFmtId="277" fontId="0" fillId="2" borderId="3" xfId="0" applyNumberFormat="1" applyFill="1" applyBorder="1" applyAlignment="1" applyProtection="1">
      <alignment horizontal="right" vertical="center" indent="1"/>
      <protection hidden="1"/>
    </xf>
    <xf numFmtId="185" fontId="2" fillId="2" borderId="3" xfId="0" applyNumberFormat="1" applyFont="1" applyFill="1" applyBorder="1" applyAlignment="1" applyProtection="1">
      <alignment horizontal="right" vertical="center" indent="1"/>
      <protection hidden="1"/>
    </xf>
    <xf numFmtId="186" fontId="2" fillId="2" borderId="3" xfId="0" applyNumberFormat="1" applyFont="1" applyFill="1" applyBorder="1" applyAlignment="1" applyProtection="1">
      <alignment horizontal="right" vertical="center" indent="1"/>
      <protection hidden="1"/>
    </xf>
    <xf numFmtId="228" fontId="0" fillId="2" borderId="3" xfId="0" applyNumberFormat="1" applyFont="1" applyFill="1" applyBorder="1" applyAlignment="1" applyProtection="1">
      <alignment horizontal="right" vertical="center" indent="1"/>
      <protection hidden="1"/>
    </xf>
    <xf numFmtId="181" fontId="0" fillId="2" borderId="3" xfId="0" applyNumberFormat="1" applyFont="1" applyFill="1" applyBorder="1" applyAlignment="1" applyProtection="1">
      <alignment horizontal="right" vertical="center" indent="1"/>
      <protection hidden="1"/>
    </xf>
    <xf numFmtId="224" fontId="1" fillId="2" borderId="3" xfId="0" applyNumberFormat="1" applyFont="1" applyFill="1" applyBorder="1" applyAlignment="1" applyProtection="1">
      <alignment horizontal="right" indent="1"/>
    </xf>
    <xf numFmtId="180" fontId="2" fillId="2" borderId="3" xfId="0" applyNumberFormat="1" applyFont="1" applyFill="1" applyBorder="1" applyAlignment="1" applyProtection="1">
      <alignment horizontal="right" vertical="center" indent="1"/>
      <protection hidden="1"/>
    </xf>
    <xf numFmtId="178" fontId="2" fillId="2" borderId="3" xfId="0" applyNumberFormat="1" applyFont="1" applyFill="1" applyBorder="1" applyAlignment="1" applyProtection="1">
      <alignment horizontal="right" vertical="center" indent="1"/>
      <protection hidden="1"/>
    </xf>
    <xf numFmtId="2" fontId="0" fillId="10" borderId="3" xfId="5" applyNumberFormat="1" applyFont="1" applyFill="1" applyBorder="1" applyAlignment="1" applyProtection="1">
      <alignment horizontal="center"/>
      <protection locked="0"/>
    </xf>
    <xf numFmtId="172" fontId="2" fillId="10" borderId="3" xfId="0" applyNumberFormat="1" applyFont="1" applyFill="1" applyBorder="1" applyAlignment="1" applyProtection="1">
      <alignment horizontal="right" indent="1"/>
      <protection locked="0"/>
    </xf>
    <xf numFmtId="249" fontId="1" fillId="10" borderId="3" xfId="0" applyNumberFormat="1" applyFont="1" applyFill="1" applyBorder="1" applyAlignment="1" applyProtection="1">
      <alignment horizontal="center"/>
      <protection locked="0" hidden="1"/>
    </xf>
    <xf numFmtId="250" fontId="1" fillId="10" borderId="3" xfId="0" applyNumberFormat="1" applyFont="1" applyFill="1" applyBorder="1" applyAlignment="1" applyProtection="1">
      <alignment horizontal="center"/>
      <protection locked="0" hidden="1"/>
    </xf>
    <xf numFmtId="251" fontId="1" fillId="10" borderId="3" xfId="0" applyNumberFormat="1" applyFont="1" applyFill="1" applyBorder="1" applyAlignment="1" applyProtection="1">
      <alignment horizontal="center"/>
      <protection locked="0" hidden="1"/>
    </xf>
    <xf numFmtId="265" fontId="1" fillId="10" borderId="3" xfId="0" applyNumberFormat="1" applyFont="1" applyFill="1" applyBorder="1" applyAlignment="1" applyProtection="1">
      <alignment horizontal="center"/>
      <protection locked="0" hidden="1"/>
    </xf>
    <xf numFmtId="266" fontId="0" fillId="10" borderId="3" xfId="0" applyNumberFormat="1" applyFill="1" applyBorder="1" applyAlignment="1" applyProtection="1">
      <alignment horizontal="center"/>
      <protection locked="0" hidden="1"/>
    </xf>
    <xf numFmtId="267" fontId="1" fillId="10" borderId="3" xfId="0" applyNumberFormat="1" applyFont="1" applyFill="1" applyBorder="1" applyAlignment="1" applyProtection="1">
      <alignment horizontal="center"/>
      <protection locked="0" hidden="1"/>
    </xf>
    <xf numFmtId="268" fontId="1" fillId="10" borderId="3" xfId="0" applyNumberFormat="1" applyFont="1" applyFill="1" applyBorder="1" applyAlignment="1" applyProtection="1">
      <alignment horizontal="center"/>
      <protection locked="0" hidden="1"/>
    </xf>
    <xf numFmtId="4" fontId="2" fillId="10" borderId="6" xfId="0" applyNumberFormat="1" applyFont="1" applyFill="1" applyBorder="1" applyAlignment="1" applyProtection="1">
      <alignment horizontal="right" indent="1"/>
      <protection locked="0"/>
    </xf>
    <xf numFmtId="0" fontId="1" fillId="2" borderId="8" xfId="0" applyFont="1" applyFill="1" applyBorder="1" applyAlignment="1" applyProtection="1">
      <alignment horizontal="center" vertical="center" wrapText="1"/>
    </xf>
    <xf numFmtId="2" fontId="0" fillId="2" borderId="8" xfId="5" applyNumberFormat="1" applyFont="1" applyFill="1" applyBorder="1" applyAlignment="1" applyProtection="1">
      <alignment horizontal="center"/>
    </xf>
    <xf numFmtId="4" fontId="2" fillId="10" borderId="8" xfId="0" applyNumberFormat="1" applyFont="1" applyFill="1" applyBorder="1" applyAlignment="1" applyProtection="1">
      <alignment horizontal="right" indent="1"/>
      <protection locked="0"/>
    </xf>
    <xf numFmtId="263" fontId="2" fillId="10" borderId="8" xfId="0" applyNumberFormat="1" applyFont="1" applyFill="1" applyBorder="1" applyAlignment="1" applyProtection="1">
      <alignment horizontal="right" indent="1"/>
      <protection locked="0"/>
    </xf>
    <xf numFmtId="206" fontId="2" fillId="2" borderId="11" xfId="0" applyNumberFormat="1" applyFont="1" applyFill="1" applyBorder="1" applyAlignment="1" applyProtection="1">
      <alignment horizontal="right" indent="1"/>
    </xf>
    <xf numFmtId="172" fontId="2" fillId="10" borderId="6" xfId="0" applyNumberFormat="1" applyFont="1" applyFill="1" applyBorder="1" applyAlignment="1" applyProtection="1">
      <alignment horizontal="right" indent="1"/>
      <protection locked="0"/>
    </xf>
    <xf numFmtId="172" fontId="2" fillId="10" borderId="8" xfId="0" applyNumberFormat="1" applyFont="1" applyFill="1" applyBorder="1" applyAlignment="1" applyProtection="1">
      <alignment horizontal="right" indent="1"/>
      <protection locked="0"/>
    </xf>
    <xf numFmtId="262" fontId="2" fillId="10" borderId="8" xfId="0" applyNumberFormat="1" applyFont="1" applyFill="1" applyBorder="1" applyAlignment="1" applyProtection="1">
      <alignment horizontal="right" indent="1"/>
      <protection locked="0"/>
    </xf>
    <xf numFmtId="172" fontId="2" fillId="2" borderId="8" xfId="0" applyNumberFormat="1" applyFont="1" applyFill="1" applyBorder="1" applyAlignment="1" applyProtection="1">
      <alignment horizontal="right" indent="1"/>
    </xf>
    <xf numFmtId="172" fontId="0" fillId="10" borderId="8" xfId="0" applyNumberFormat="1" applyFill="1" applyBorder="1" applyAlignment="1" applyProtection="1">
      <alignment horizontal="right" indent="1"/>
      <protection locked="0" hidden="1"/>
    </xf>
    <xf numFmtId="172" fontId="2" fillId="10" borderId="11" xfId="0" applyNumberFormat="1" applyFont="1" applyFill="1" applyBorder="1" applyAlignment="1" applyProtection="1">
      <alignment horizontal="right" indent="1"/>
      <protection locked="0" hidden="1"/>
    </xf>
    <xf numFmtId="315" fontId="1" fillId="10" borderId="6" xfId="0" applyNumberFormat="1" applyFont="1" applyFill="1" applyBorder="1" applyAlignment="1" applyProtection="1">
      <alignment horizontal="right" indent="1"/>
      <protection locked="0"/>
    </xf>
    <xf numFmtId="316" fontId="1" fillId="10" borderId="11" xfId="0" applyNumberFormat="1" applyFont="1" applyFill="1" applyBorder="1" applyAlignment="1" applyProtection="1">
      <alignment horizontal="right" indent="1"/>
      <protection locked="0"/>
    </xf>
    <xf numFmtId="317" fontId="2" fillId="10" borderId="6" xfId="0" applyNumberFormat="1" applyFont="1" applyFill="1" applyBorder="1" applyAlignment="1" applyProtection="1">
      <alignment horizontal="right" indent="1"/>
      <protection locked="0"/>
    </xf>
    <xf numFmtId="318" fontId="2" fillId="2" borderId="8" xfId="0" applyNumberFormat="1" applyFont="1" applyFill="1" applyBorder="1" applyAlignment="1" applyProtection="1">
      <alignment horizontal="right" indent="1"/>
    </xf>
    <xf numFmtId="255" fontId="2" fillId="2" borderId="8" xfId="0" applyNumberFormat="1" applyFont="1" applyFill="1" applyBorder="1" applyAlignment="1" applyProtection="1">
      <alignment horizontal="right" indent="1"/>
    </xf>
    <xf numFmtId="175" fontId="2" fillId="2" borderId="8" xfId="0" applyNumberFormat="1" applyFont="1" applyFill="1" applyBorder="1" applyAlignment="1" applyProtection="1">
      <alignment horizontal="right" indent="1"/>
    </xf>
    <xf numFmtId="256" fontId="2" fillId="10" borderId="8" xfId="0" applyNumberFormat="1" applyFont="1" applyFill="1" applyBorder="1" applyAlignment="1" applyProtection="1">
      <alignment horizontal="right" indent="1"/>
      <protection locked="0"/>
    </xf>
    <xf numFmtId="257" fontId="2" fillId="10" borderId="11" xfId="0" applyNumberFormat="1" applyFont="1" applyFill="1" applyBorder="1" applyAlignment="1" applyProtection="1">
      <alignment horizontal="right" indent="1"/>
      <protection locked="0"/>
    </xf>
    <xf numFmtId="244" fontId="1" fillId="10" borderId="6" xfId="0" applyNumberFormat="1" applyFont="1" applyFill="1" applyBorder="1" applyAlignment="1" applyProtection="1">
      <alignment horizontal="right" indent="1"/>
      <protection locked="0"/>
    </xf>
    <xf numFmtId="245" fontId="1" fillId="2" borderId="8" xfId="0" applyNumberFormat="1" applyFont="1" applyFill="1" applyBorder="1" applyAlignment="1" applyProtection="1">
      <alignment horizontal="right" indent="1"/>
    </xf>
    <xf numFmtId="246" fontId="1" fillId="2" borderId="8" xfId="0" applyNumberFormat="1" applyFont="1" applyFill="1" applyBorder="1" applyAlignment="1" applyProtection="1">
      <alignment horizontal="right" indent="1"/>
    </xf>
    <xf numFmtId="173" fontId="1" fillId="2" borderId="8" xfId="0" applyNumberFormat="1" applyFont="1" applyFill="1" applyBorder="1" applyAlignment="1" applyProtection="1">
      <alignment horizontal="right" indent="1"/>
    </xf>
    <xf numFmtId="244" fontId="1" fillId="10" borderId="8" xfId="0" applyNumberFormat="1" applyFont="1" applyFill="1" applyBorder="1" applyAlignment="1" applyProtection="1">
      <alignment horizontal="right" indent="1"/>
      <protection locked="0"/>
    </xf>
    <xf numFmtId="247" fontId="1" fillId="2" borderId="8" xfId="0" applyNumberFormat="1" applyFont="1" applyFill="1" applyBorder="1" applyAlignment="1" applyProtection="1">
      <alignment horizontal="right" indent="1"/>
    </xf>
    <xf numFmtId="248" fontId="1" fillId="2" borderId="8" xfId="0" applyNumberFormat="1" applyFont="1" applyFill="1" applyBorder="1" applyAlignment="1" applyProtection="1">
      <alignment horizontal="right" indent="1"/>
    </xf>
    <xf numFmtId="174" fontId="2" fillId="2" borderId="11" xfId="0" applyNumberFormat="1" applyFont="1" applyFill="1" applyBorder="1" applyAlignment="1" applyProtection="1">
      <alignment horizontal="right" indent="1"/>
    </xf>
    <xf numFmtId="264" fontId="2" fillId="10" borderId="8" xfId="0" applyNumberFormat="1" applyFont="1" applyFill="1" applyBorder="1" applyAlignment="1" applyProtection="1">
      <alignment horizontal="right" indent="1"/>
      <protection locked="0"/>
    </xf>
    <xf numFmtId="276" fontId="2" fillId="10" borderId="8" xfId="0" applyNumberFormat="1" applyFont="1" applyFill="1" applyBorder="1" applyAlignment="1" applyProtection="1">
      <alignment horizontal="right" indent="1"/>
      <protection locked="0"/>
    </xf>
    <xf numFmtId="260" fontId="2" fillId="10" borderId="8" xfId="0" applyNumberFormat="1" applyFont="1" applyFill="1" applyBorder="1" applyAlignment="1" applyProtection="1">
      <alignment horizontal="right" indent="1"/>
      <protection locked="0"/>
    </xf>
    <xf numFmtId="261" fontId="2" fillId="10" borderId="11" xfId="0" applyNumberFormat="1" applyFont="1" applyFill="1" applyBorder="1" applyAlignment="1" applyProtection="1">
      <alignment horizontal="right" indent="1"/>
      <protection locked="0"/>
    </xf>
    <xf numFmtId="264" fontId="2" fillId="10" borderId="23" xfId="0" applyNumberFormat="1" applyFont="1" applyFill="1" applyBorder="1" applyAlignment="1" applyProtection="1">
      <alignment horizontal="right" indent="1"/>
      <protection locked="0"/>
    </xf>
    <xf numFmtId="223" fontId="27" fillId="10" borderId="3" xfId="0" applyNumberFormat="1" applyFont="1" applyFill="1" applyBorder="1" applyAlignment="1" applyProtection="1">
      <alignment horizontal="right" indent="1"/>
      <protection locked="0"/>
    </xf>
    <xf numFmtId="218" fontId="27" fillId="10" borderId="3" xfId="0" applyNumberFormat="1" applyFont="1" applyFill="1" applyBorder="1" applyAlignment="1" applyProtection="1">
      <alignment horizontal="right" indent="1"/>
      <protection locked="0"/>
    </xf>
    <xf numFmtId="298" fontId="1" fillId="2" borderId="3" xfId="0" applyNumberFormat="1" applyFont="1" applyFill="1" applyBorder="1" applyAlignment="1" applyProtection="1">
      <alignment horizontal="center"/>
    </xf>
    <xf numFmtId="313" fontId="40" fillId="10" borderId="3" xfId="0" applyNumberFormat="1" applyFont="1" applyFill="1" applyBorder="1" applyAlignment="1" applyProtection="1">
      <alignment horizontal="center"/>
      <protection locked="0"/>
    </xf>
    <xf numFmtId="284" fontId="1" fillId="10" borderId="12" xfId="6" applyNumberFormat="1" applyFont="1" applyFill="1" applyBorder="1" applyAlignment="1" applyProtection="1">
      <alignment horizontal="center"/>
      <protection locked="0"/>
    </xf>
    <xf numFmtId="275" fontId="2" fillId="0" borderId="3" xfId="0" applyNumberFormat="1" applyFont="1" applyFill="1" applyBorder="1" applyAlignment="1" applyProtection="1">
      <alignment horizontal="center" vertical="center"/>
    </xf>
    <xf numFmtId="201" fontId="2" fillId="10" borderId="3" xfId="0" applyNumberFormat="1" applyFont="1" applyFill="1" applyBorder="1" applyAlignment="1" applyProtection="1">
      <alignment horizontal="center" vertical="center"/>
      <protection locked="0" hidden="1"/>
    </xf>
    <xf numFmtId="281" fontId="0" fillId="10" borderId="3" xfId="0" applyNumberFormat="1" applyFill="1" applyBorder="1" applyAlignment="1" applyProtection="1">
      <alignment horizontal="center"/>
      <protection locked="0"/>
    </xf>
    <xf numFmtId="282" fontId="0" fillId="10" borderId="3" xfId="0" applyNumberFormat="1" applyFill="1" applyBorder="1" applyAlignment="1" applyProtection="1">
      <alignment horizontal="center"/>
      <protection locked="0"/>
    </xf>
    <xf numFmtId="9" fontId="2" fillId="10" borderId="3" xfId="5" applyFont="1" applyFill="1" applyBorder="1" applyAlignment="1" applyProtection="1">
      <alignment horizontal="center"/>
      <protection locked="0" hidden="1"/>
    </xf>
    <xf numFmtId="252" fontId="27" fillId="10" borderId="3" xfId="0" applyNumberFormat="1" applyFont="1" applyFill="1" applyBorder="1" applyAlignment="1" applyProtection="1">
      <alignment horizontal="right" indent="1"/>
      <protection locked="0"/>
    </xf>
    <xf numFmtId="2" fontId="1" fillId="10" borderId="3" xfId="1" applyNumberFormat="1" applyFont="1" applyFill="1" applyBorder="1" applyAlignment="1" applyProtection="1">
      <alignment horizontal="right" indent="1"/>
      <protection locked="0" hidden="1"/>
    </xf>
    <xf numFmtId="199" fontId="27" fillId="10" borderId="3" xfId="0" applyNumberFormat="1" applyFont="1" applyFill="1" applyBorder="1" applyAlignment="1" applyProtection="1">
      <alignment horizontal="right" indent="1"/>
      <protection locked="0"/>
    </xf>
    <xf numFmtId="198" fontId="27" fillId="10" borderId="3" xfId="0" applyNumberFormat="1" applyFont="1" applyFill="1" applyBorder="1" applyAlignment="1" applyProtection="1">
      <alignment horizontal="right" indent="1"/>
      <protection locked="0"/>
    </xf>
    <xf numFmtId="311" fontId="27" fillId="10" borderId="3" xfId="0" applyNumberFormat="1" applyFont="1" applyFill="1" applyBorder="1" applyAlignment="1" applyProtection="1">
      <alignment horizontal="right" indent="1"/>
      <protection locked="0"/>
    </xf>
    <xf numFmtId="271" fontId="27" fillId="10" borderId="3" xfId="0" applyNumberFormat="1" applyFont="1" applyFill="1" applyBorder="1" applyAlignment="1" applyProtection="1">
      <alignment horizontal="right" indent="1"/>
      <protection locked="0"/>
    </xf>
    <xf numFmtId="308" fontId="1" fillId="2" borderId="3" xfId="0" applyNumberFormat="1" applyFont="1" applyFill="1" applyBorder="1" applyAlignment="1" applyProtection="1">
      <alignment horizontal="right" indent="1"/>
    </xf>
    <xf numFmtId="0" fontId="1" fillId="2" borderId="12" xfId="0" applyFont="1" applyFill="1" applyBorder="1" applyAlignment="1" applyProtection="1">
      <alignment horizontal="left" indent="1"/>
      <protection hidden="1"/>
    </xf>
    <xf numFmtId="0" fontId="1" fillId="2" borderId="24" xfId="0" applyFont="1" applyFill="1" applyBorder="1" applyAlignment="1" applyProtection="1">
      <alignment horizontal="left" indent="1"/>
      <protection hidden="1"/>
    </xf>
    <xf numFmtId="0" fontId="1" fillId="2" borderId="14" xfId="0" applyFont="1" applyFill="1" applyBorder="1" applyAlignment="1" applyProtection="1">
      <alignment horizontal="left" indent="1"/>
      <protection hidden="1"/>
    </xf>
    <xf numFmtId="0" fontId="1" fillId="2" borderId="25" xfId="0" applyFont="1" applyFill="1" applyBorder="1" applyAlignment="1" applyProtection="1">
      <alignment horizontal="left" indent="1"/>
      <protection hidden="1"/>
    </xf>
    <xf numFmtId="0" fontId="1" fillId="2" borderId="13" xfId="0" applyFont="1" applyFill="1" applyBorder="1" applyAlignment="1" applyProtection="1">
      <alignment horizontal="left" indent="1"/>
      <protection hidden="1"/>
    </xf>
    <xf numFmtId="0" fontId="1" fillId="2" borderId="26" xfId="0" applyFont="1" applyFill="1" applyBorder="1" applyAlignment="1" applyProtection="1">
      <alignment horizontal="left" indent="1"/>
      <protection hidden="1"/>
    </xf>
    <xf numFmtId="0" fontId="2" fillId="10" borderId="3" xfId="0" applyNumberFormat="1" applyFont="1" applyFill="1" applyBorder="1" applyAlignment="1" applyProtection="1">
      <alignment horizontal="right" vertical="center" indent="1"/>
      <protection locked="0" hidden="1"/>
    </xf>
    <xf numFmtId="0" fontId="0" fillId="10" borderId="8" xfId="5" applyNumberFormat="1" applyFont="1" applyFill="1" applyBorder="1" applyAlignment="1" applyProtection="1">
      <alignment horizontal="center"/>
      <protection locked="0"/>
    </xf>
    <xf numFmtId="184" fontId="1" fillId="2" borderId="3" xfId="0" applyNumberFormat="1" applyFont="1" applyFill="1" applyBorder="1" applyAlignment="1" applyProtection="1">
      <alignment horizontal="right" vertical="center" indent="1"/>
      <protection hidden="1"/>
    </xf>
    <xf numFmtId="322" fontId="0" fillId="2" borderId="0" xfId="0" applyNumberFormat="1" applyFill="1" applyProtection="1"/>
    <xf numFmtId="288" fontId="0" fillId="2" borderId="3" xfId="0" quotePrefix="1" applyNumberFormat="1" applyFill="1" applyBorder="1" applyAlignment="1" applyProtection="1">
      <alignment horizontal="center"/>
    </xf>
    <xf numFmtId="292" fontId="0" fillId="2" borderId="3" xfId="0" applyNumberFormat="1" applyFill="1" applyBorder="1" applyAlignment="1" applyProtection="1">
      <alignment horizontal="center"/>
      <protection locked="0"/>
    </xf>
    <xf numFmtId="177" fontId="1" fillId="2" borderId="3" xfId="0" applyNumberFormat="1" applyFont="1" applyFill="1" applyBorder="1" applyAlignment="1" applyProtection="1">
      <alignment horizontal="center"/>
      <protection locked="0"/>
    </xf>
    <xf numFmtId="314" fontId="1" fillId="2" borderId="3" xfId="0" applyNumberFormat="1" applyFont="1" applyFill="1" applyBorder="1" applyAlignment="1" applyProtection="1">
      <alignment horizontal="center"/>
      <protection locked="0"/>
    </xf>
    <xf numFmtId="295" fontId="0" fillId="2" borderId="3" xfId="0" applyNumberFormat="1" applyFill="1" applyBorder="1" applyAlignment="1" applyProtection="1">
      <alignment horizontal="center"/>
      <protection locked="0"/>
    </xf>
    <xf numFmtId="0" fontId="8" fillId="11" borderId="27" xfId="0" applyFont="1" applyFill="1" applyBorder="1" applyAlignment="1" applyProtection="1">
      <alignment horizontal="center" vertical="center"/>
    </xf>
    <xf numFmtId="0" fontId="1" fillId="2" borderId="28" xfId="0" applyFont="1" applyFill="1" applyBorder="1" applyAlignment="1" applyProtection="1">
      <alignment horizontal="center" vertical="center"/>
      <protection hidden="1"/>
    </xf>
    <xf numFmtId="0" fontId="1" fillId="2" borderId="29" xfId="0" applyFont="1" applyFill="1" applyBorder="1" applyAlignment="1" applyProtection="1">
      <alignment horizontal="center" vertical="center" wrapText="1"/>
      <protection hidden="1"/>
    </xf>
    <xf numFmtId="0" fontId="1" fillId="2" borderId="30" xfId="0" applyFont="1" applyFill="1" applyBorder="1" applyAlignment="1" applyProtection="1">
      <alignment horizontal="center" vertical="center" wrapText="1"/>
      <protection hidden="1"/>
    </xf>
    <xf numFmtId="0" fontId="1" fillId="2" borderId="31" xfId="0" applyFont="1" applyFill="1" applyBorder="1" applyAlignment="1" applyProtection="1">
      <alignment horizontal="left" indent="2"/>
      <protection hidden="1"/>
    </xf>
    <xf numFmtId="302" fontId="0" fillId="2" borderId="32" xfId="0" applyNumberFormat="1" applyFill="1" applyBorder="1" applyAlignment="1" applyProtection="1">
      <alignment horizontal="right" indent="1"/>
      <protection hidden="1"/>
    </xf>
    <xf numFmtId="302" fontId="0" fillId="2" borderId="33" xfId="0" applyNumberFormat="1" applyFill="1" applyBorder="1" applyAlignment="1" applyProtection="1">
      <alignment horizontal="left" indent="1"/>
      <protection hidden="1"/>
    </xf>
    <xf numFmtId="0" fontId="1" fillId="2" borderId="35" xfId="0" applyFont="1" applyFill="1" applyBorder="1" applyAlignment="1" applyProtection="1">
      <alignment horizontal="left" indent="2"/>
      <protection hidden="1"/>
    </xf>
    <xf numFmtId="303" fontId="0" fillId="2" borderId="36" xfId="0" applyNumberFormat="1" applyFill="1" applyBorder="1" applyAlignment="1" applyProtection="1">
      <alignment horizontal="right" indent="1"/>
      <protection hidden="1"/>
    </xf>
    <xf numFmtId="303" fontId="0" fillId="2" borderId="37" xfId="0" applyNumberFormat="1" applyFill="1" applyBorder="1" applyAlignment="1" applyProtection="1">
      <alignment horizontal="left" indent="1"/>
      <protection hidden="1"/>
    </xf>
    <xf numFmtId="323" fontId="0" fillId="2" borderId="37" xfId="0" applyNumberFormat="1" applyFill="1" applyBorder="1" applyAlignment="1" applyProtection="1">
      <alignment horizontal="left" indent="1"/>
      <protection hidden="1"/>
    </xf>
    <xf numFmtId="324" fontId="0" fillId="2" borderId="36" xfId="0" applyNumberFormat="1" applyFill="1" applyBorder="1" applyAlignment="1" applyProtection="1">
      <alignment horizontal="right" indent="1"/>
      <protection hidden="1"/>
    </xf>
    <xf numFmtId="324" fontId="0" fillId="2" borderId="37" xfId="0" applyNumberFormat="1" applyFill="1" applyBorder="1" applyAlignment="1" applyProtection="1">
      <alignment horizontal="left" indent="1"/>
      <protection hidden="1"/>
    </xf>
    <xf numFmtId="325" fontId="0" fillId="2" borderId="36" xfId="0" applyNumberFormat="1" applyFill="1" applyBorder="1" applyAlignment="1" applyProtection="1">
      <alignment horizontal="right" indent="1"/>
      <protection hidden="1"/>
    </xf>
    <xf numFmtId="325" fontId="0" fillId="2" borderId="37" xfId="0" applyNumberFormat="1" applyFill="1" applyBorder="1" applyAlignment="1" applyProtection="1">
      <alignment horizontal="left" indent="1"/>
      <protection hidden="1"/>
    </xf>
    <xf numFmtId="326" fontId="0" fillId="2" borderId="36" xfId="0" applyNumberFormat="1" applyFill="1" applyBorder="1" applyAlignment="1" applyProtection="1">
      <alignment horizontal="right" indent="1"/>
      <protection hidden="1"/>
    </xf>
    <xf numFmtId="327" fontId="0" fillId="2" borderId="37" xfId="0" applyNumberFormat="1" applyFill="1" applyBorder="1" applyAlignment="1" applyProtection="1">
      <alignment horizontal="left" indent="1"/>
      <protection hidden="1"/>
    </xf>
    <xf numFmtId="328" fontId="0" fillId="2" borderId="36" xfId="0" applyNumberFormat="1" applyFill="1" applyBorder="1" applyAlignment="1" applyProtection="1">
      <alignment horizontal="right" indent="1"/>
      <protection hidden="1"/>
    </xf>
    <xf numFmtId="328" fontId="0" fillId="2" borderId="37" xfId="0" applyNumberFormat="1" applyFill="1" applyBorder="1" applyAlignment="1" applyProtection="1">
      <alignment horizontal="left" indent="1"/>
      <protection hidden="1"/>
    </xf>
    <xf numFmtId="0" fontId="1" fillId="2" borderId="39" xfId="0" applyFont="1" applyFill="1" applyBorder="1" applyAlignment="1" applyProtection="1">
      <alignment horizontal="left" indent="2"/>
      <protection hidden="1"/>
    </xf>
    <xf numFmtId="329" fontId="0" fillId="2" borderId="41" xfId="0" applyNumberFormat="1" applyFill="1" applyBorder="1" applyAlignment="1" applyProtection="1">
      <alignment horizontal="left" indent="1"/>
      <protection hidden="1"/>
    </xf>
    <xf numFmtId="0" fontId="1" fillId="2" borderId="42" xfId="0" applyFont="1" applyFill="1" applyBorder="1" applyAlignment="1" applyProtection="1">
      <alignment horizontal="left" indent="2"/>
      <protection hidden="1"/>
    </xf>
    <xf numFmtId="302" fontId="0" fillId="2" borderId="43" xfId="0" applyNumberFormat="1" applyFill="1" applyBorder="1" applyAlignment="1" applyProtection="1">
      <alignment horizontal="right" indent="1"/>
      <protection hidden="1"/>
    </xf>
    <xf numFmtId="0" fontId="0" fillId="2" borderId="43" xfId="0" applyFill="1" applyBorder="1" applyAlignment="1" applyProtection="1">
      <alignment horizontal="center"/>
      <protection hidden="1"/>
    </xf>
    <xf numFmtId="302" fontId="0" fillId="2" borderId="44" xfId="0" applyNumberFormat="1" applyFill="1" applyBorder="1" applyAlignment="1" applyProtection="1">
      <alignment horizontal="left" indent="1"/>
      <protection hidden="1"/>
    </xf>
    <xf numFmtId="0" fontId="0" fillId="2" borderId="36" xfId="0" applyFill="1" applyBorder="1" applyAlignment="1" applyProtection="1">
      <alignment horizontal="center"/>
      <protection hidden="1"/>
    </xf>
    <xf numFmtId="323" fontId="0" fillId="2" borderId="36" xfId="0" applyNumberFormat="1" applyFill="1" applyBorder="1" applyAlignment="1" applyProtection="1">
      <alignment horizontal="right" indent="1"/>
      <protection hidden="1"/>
    </xf>
    <xf numFmtId="329" fontId="0" fillId="2" borderId="40" xfId="0" applyNumberFormat="1" applyFill="1" applyBorder="1" applyAlignment="1" applyProtection="1">
      <alignment horizontal="right" indent="1"/>
      <protection hidden="1"/>
    </xf>
    <xf numFmtId="0" fontId="0" fillId="2" borderId="40" xfId="0" applyFill="1" applyBorder="1" applyAlignment="1" applyProtection="1">
      <alignment horizontal="center"/>
      <protection hidden="1"/>
    </xf>
    <xf numFmtId="302" fontId="0" fillId="2" borderId="47" xfId="0" applyNumberFormat="1" applyFill="1" applyBorder="1" applyAlignment="1" applyProtection="1">
      <alignment horizontal="left" indent="1"/>
      <protection hidden="1"/>
    </xf>
    <xf numFmtId="303" fontId="0" fillId="2" borderId="50" xfId="0" applyNumberFormat="1" applyFill="1" applyBorder="1" applyAlignment="1" applyProtection="1">
      <alignment horizontal="left" indent="1"/>
      <protection hidden="1"/>
    </xf>
    <xf numFmtId="323" fontId="0" fillId="2" borderId="50" xfId="0" applyNumberFormat="1" applyFill="1" applyBorder="1" applyAlignment="1" applyProtection="1">
      <alignment horizontal="left" indent="1"/>
      <protection hidden="1"/>
    </xf>
    <xf numFmtId="0" fontId="6" fillId="2" borderId="48" xfId="0" applyFont="1" applyFill="1" applyBorder="1" applyAlignment="1" applyProtection="1">
      <alignment horizontal="left" indent="9"/>
      <protection hidden="1"/>
    </xf>
    <xf numFmtId="0" fontId="6" fillId="2" borderId="49" xfId="0" applyFont="1" applyFill="1" applyBorder="1" applyAlignment="1" applyProtection="1">
      <alignment horizontal="left" indent="9"/>
      <protection hidden="1"/>
    </xf>
    <xf numFmtId="324" fontId="0" fillId="2" borderId="50" xfId="0" applyNumberFormat="1" applyFill="1" applyBorder="1" applyAlignment="1" applyProtection="1">
      <alignment horizontal="left" indent="1"/>
      <protection hidden="1"/>
    </xf>
    <xf numFmtId="325" fontId="0" fillId="2" borderId="50" xfId="0" applyNumberFormat="1" applyFill="1" applyBorder="1" applyAlignment="1" applyProtection="1">
      <alignment horizontal="left" indent="1"/>
      <protection hidden="1"/>
    </xf>
    <xf numFmtId="327" fontId="0" fillId="2" borderId="50" xfId="0" applyNumberFormat="1" applyFill="1" applyBorder="1" applyAlignment="1" applyProtection="1">
      <alignment horizontal="left" indent="1"/>
      <protection hidden="1"/>
    </xf>
    <xf numFmtId="328" fontId="0" fillId="2" borderId="50" xfId="0" applyNumberFormat="1" applyFill="1" applyBorder="1" applyAlignment="1" applyProtection="1">
      <alignment horizontal="left" indent="1"/>
      <protection hidden="1"/>
    </xf>
    <xf numFmtId="329" fontId="0" fillId="2" borderId="53" xfId="0" applyNumberFormat="1" applyFill="1" applyBorder="1" applyAlignment="1" applyProtection="1">
      <alignment horizontal="left" indent="1"/>
      <protection hidden="1"/>
    </xf>
    <xf numFmtId="0" fontId="6" fillId="2" borderId="0" xfId="0" applyFont="1" applyFill="1" applyAlignment="1" applyProtection="1">
      <alignment horizontal="center"/>
      <protection hidden="1"/>
    </xf>
    <xf numFmtId="201" fontId="6" fillId="2" borderId="0" xfId="0" applyNumberFormat="1" applyFont="1" applyFill="1" applyAlignment="1" applyProtection="1">
      <alignment horizontal="center"/>
      <protection hidden="1"/>
    </xf>
    <xf numFmtId="0" fontId="0" fillId="10" borderId="32" xfId="0" applyFill="1" applyBorder="1" applyAlignment="1" applyProtection="1">
      <alignment horizontal="center"/>
      <protection locked="0" hidden="1"/>
    </xf>
    <xf numFmtId="0" fontId="0" fillId="10" borderId="36" xfId="0" applyFill="1" applyBorder="1" applyAlignment="1" applyProtection="1">
      <alignment horizontal="center"/>
      <protection locked="0" hidden="1"/>
    </xf>
    <xf numFmtId="0" fontId="0" fillId="10" borderId="40" xfId="0" applyFill="1" applyBorder="1" applyAlignment="1" applyProtection="1">
      <alignment horizontal="center"/>
      <protection locked="0" hidden="1"/>
    </xf>
    <xf numFmtId="323" fontId="0" fillId="10" borderId="36" xfId="0" applyNumberFormat="1" applyFill="1" applyBorder="1" applyAlignment="1" applyProtection="1">
      <alignment horizontal="right" indent="1"/>
      <protection hidden="1"/>
    </xf>
    <xf numFmtId="329" fontId="0" fillId="10" borderId="40" xfId="0" applyNumberFormat="1" applyFill="1" applyBorder="1" applyAlignment="1" applyProtection="1">
      <alignment horizontal="right" indent="1"/>
      <protection hidden="1"/>
    </xf>
    <xf numFmtId="243" fontId="2" fillId="10" borderId="8" xfId="0" quotePrefix="1" applyNumberFormat="1" applyFont="1" applyFill="1" applyBorder="1" applyAlignment="1" applyProtection="1">
      <alignment horizontal="right" indent="1"/>
      <protection locked="0"/>
    </xf>
    <xf numFmtId="0" fontId="1" fillId="10" borderId="3" xfId="0" applyFont="1" applyFill="1" applyBorder="1" applyAlignment="1" applyProtection="1">
      <alignment horizontal="left" indent="3"/>
      <protection locked="0"/>
    </xf>
    <xf numFmtId="0" fontId="5" fillId="5" borderId="3" xfId="0" applyFont="1" applyFill="1" applyBorder="1" applyAlignment="1" applyProtection="1">
      <alignment horizontal="center" vertical="center"/>
      <protection hidden="1"/>
    </xf>
    <xf numFmtId="0" fontId="1" fillId="2" borderId="3" xfId="0" applyFont="1" applyFill="1" applyBorder="1" applyAlignment="1" applyProtection="1">
      <alignment horizontal="left" indent="2"/>
      <protection hidden="1"/>
    </xf>
    <xf numFmtId="0" fontId="5" fillId="5" borderId="12" xfId="0"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280" fontId="28" fillId="2" borderId="0" xfId="0" applyNumberFormat="1" applyFont="1" applyFill="1" applyAlignment="1" applyProtection="1">
      <alignment horizontal="left" indent="1"/>
    </xf>
    <xf numFmtId="0" fontId="0" fillId="2" borderId="0" xfId="0" applyFill="1" applyAlignment="1" applyProtection="1">
      <alignment horizontal="center" vertical="center"/>
    </xf>
    <xf numFmtId="279" fontId="28" fillId="2" borderId="0" xfId="0" applyNumberFormat="1" applyFont="1" applyFill="1" applyAlignment="1" applyProtection="1">
      <alignment horizontal="left" indent="1"/>
    </xf>
    <xf numFmtId="0" fontId="1" fillId="2" borderId="7" xfId="0" applyFont="1" applyFill="1" applyBorder="1" applyAlignment="1" applyProtection="1">
      <alignment horizontal="left" indent="3"/>
      <protection hidden="1"/>
    </xf>
    <xf numFmtId="0" fontId="1" fillId="2" borderId="3" xfId="0" applyFont="1" applyFill="1" applyBorder="1" applyAlignment="1" applyProtection="1">
      <alignment horizontal="left" indent="3"/>
      <protection hidden="1"/>
    </xf>
    <xf numFmtId="0" fontId="1" fillId="2" borderId="9" xfId="0" applyFont="1" applyFill="1" applyBorder="1" applyAlignment="1" applyProtection="1">
      <alignment horizontal="left" indent="3"/>
      <protection hidden="1"/>
    </xf>
    <xf numFmtId="0" fontId="1" fillId="2" borderId="10" xfId="0" applyFont="1" applyFill="1" applyBorder="1" applyAlignment="1" applyProtection="1">
      <alignment horizontal="left" indent="3"/>
      <protection hidden="1"/>
    </xf>
    <xf numFmtId="0" fontId="6" fillId="9" borderId="16" xfId="0" applyFont="1" applyFill="1" applyBorder="1" applyAlignment="1" applyProtection="1">
      <alignment horizontal="center"/>
      <protection hidden="1"/>
    </xf>
    <xf numFmtId="0" fontId="6" fillId="9" borderId="17" xfId="0" applyFont="1" applyFill="1" applyBorder="1" applyAlignment="1" applyProtection="1">
      <alignment horizontal="center"/>
      <protection hidden="1"/>
    </xf>
    <xf numFmtId="0" fontId="6" fillId="9" borderId="18" xfId="0" applyFont="1" applyFill="1" applyBorder="1" applyAlignment="1" applyProtection="1">
      <alignment horizontal="center"/>
      <protection hidden="1"/>
    </xf>
    <xf numFmtId="0" fontId="6" fillId="8" borderId="4" xfId="0" applyFont="1" applyFill="1" applyBorder="1" applyAlignment="1" applyProtection="1">
      <alignment horizontal="center" vertical="center" textRotation="90" wrapText="1"/>
    </xf>
    <xf numFmtId="0" fontId="6" fillId="8" borderId="5" xfId="0" applyFont="1" applyFill="1" applyBorder="1" applyAlignment="1" applyProtection="1">
      <alignment horizontal="center" vertical="center" textRotation="90"/>
    </xf>
    <xf numFmtId="0" fontId="6" fillId="8" borderId="7" xfId="0" applyFont="1" applyFill="1" applyBorder="1" applyAlignment="1" applyProtection="1">
      <alignment horizontal="center" vertical="center" textRotation="90"/>
    </xf>
    <xf numFmtId="0" fontId="6" fillId="8" borderId="3" xfId="0" applyFont="1" applyFill="1" applyBorder="1" applyAlignment="1" applyProtection="1">
      <alignment horizontal="center" vertical="center" textRotation="90"/>
    </xf>
    <xf numFmtId="0" fontId="6" fillId="8" borderId="9" xfId="0" applyFont="1" applyFill="1" applyBorder="1" applyAlignment="1" applyProtection="1">
      <alignment horizontal="center" vertical="center" textRotation="90"/>
    </xf>
    <xf numFmtId="0" fontId="6" fillId="8" borderId="10" xfId="0" applyFont="1" applyFill="1" applyBorder="1" applyAlignment="1" applyProtection="1">
      <alignment horizontal="center" vertical="center" textRotation="90"/>
    </xf>
    <xf numFmtId="0" fontId="6" fillId="8" borderId="4" xfId="0" applyFont="1" applyFill="1" applyBorder="1" applyAlignment="1" applyProtection="1">
      <alignment horizontal="center" vertical="center" textRotation="90"/>
    </xf>
    <xf numFmtId="0" fontId="1"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left" indent="1"/>
      <protection hidden="1"/>
    </xf>
    <xf numFmtId="0" fontId="1" fillId="2" borderId="10" xfId="0" applyFont="1" applyFill="1" applyBorder="1" applyAlignment="1" applyProtection="1">
      <alignment horizontal="left" indent="1"/>
      <protection hidden="1"/>
    </xf>
    <xf numFmtId="0" fontId="1" fillId="2" borderId="3" xfId="0" applyFont="1" applyFill="1" applyBorder="1" applyAlignment="1" applyProtection="1">
      <alignment horizontal="left" indent="1"/>
      <protection hidden="1"/>
    </xf>
    <xf numFmtId="0" fontId="2" fillId="2" borderId="10" xfId="0" applyFont="1" applyFill="1" applyBorder="1" applyAlignment="1" applyProtection="1">
      <alignment horizontal="left" indent="1"/>
      <protection hidden="1"/>
    </xf>
    <xf numFmtId="0" fontId="1" fillId="2" borderId="3" xfId="0" applyFont="1" applyFill="1" applyBorder="1" applyAlignment="1" applyProtection="1">
      <alignment horizontal="center"/>
    </xf>
    <xf numFmtId="0" fontId="6" fillId="9" borderId="19" xfId="0" applyFont="1" applyFill="1" applyBorder="1" applyAlignment="1" applyProtection="1">
      <alignment horizontal="center"/>
      <protection hidden="1"/>
    </xf>
    <xf numFmtId="0" fontId="6" fillId="9" borderId="20" xfId="0" applyFont="1" applyFill="1" applyBorder="1" applyAlignment="1" applyProtection="1">
      <alignment horizontal="center"/>
      <protection hidden="1"/>
    </xf>
    <xf numFmtId="0" fontId="6" fillId="9" borderId="21" xfId="0" applyFont="1" applyFill="1" applyBorder="1" applyAlignment="1" applyProtection="1">
      <alignment horizontal="center"/>
      <protection hidden="1"/>
    </xf>
    <xf numFmtId="0" fontId="1" fillId="2" borderId="22" xfId="0" applyFont="1" applyFill="1" applyBorder="1" applyAlignment="1" applyProtection="1">
      <alignment horizontal="left" indent="3"/>
      <protection hidden="1"/>
    </xf>
    <xf numFmtId="0" fontId="1" fillId="2" borderId="15" xfId="0" applyFont="1" applyFill="1" applyBorder="1" applyAlignment="1" applyProtection="1">
      <alignment horizontal="left" indent="3"/>
      <protection hidden="1"/>
    </xf>
    <xf numFmtId="0" fontId="1" fillId="2" borderId="5" xfId="0" applyFont="1" applyFill="1" applyBorder="1" applyAlignment="1" applyProtection="1">
      <alignment horizontal="left" indent="1"/>
      <protection hidden="1"/>
    </xf>
    <xf numFmtId="0" fontId="6" fillId="8" borderId="4" xfId="0" applyFont="1" applyFill="1" applyBorder="1" applyAlignment="1" applyProtection="1">
      <alignment horizontal="center" vertical="center"/>
    </xf>
    <xf numFmtId="0" fontId="6" fillId="8" borderId="5" xfId="0" applyFont="1" applyFill="1" applyBorder="1" applyAlignment="1" applyProtection="1">
      <alignment horizontal="center" vertical="center"/>
    </xf>
    <xf numFmtId="0" fontId="6" fillId="8" borderId="9" xfId="0" applyFont="1" applyFill="1" applyBorder="1" applyAlignment="1" applyProtection="1">
      <alignment horizontal="center" vertical="center"/>
    </xf>
    <xf numFmtId="0" fontId="6" fillId="8" borderId="10" xfId="0" applyFont="1" applyFill="1" applyBorder="1" applyAlignment="1" applyProtection="1">
      <alignment horizontal="center" vertical="center"/>
    </xf>
    <xf numFmtId="0" fontId="5" fillId="5" borderId="3" xfId="0" applyFont="1" applyFill="1" applyBorder="1" applyAlignment="1" applyProtection="1">
      <alignment horizontal="center"/>
      <protection hidden="1"/>
    </xf>
    <xf numFmtId="0" fontId="14" fillId="2" borderId="0" xfId="0" applyFont="1" applyFill="1" applyAlignment="1" applyProtection="1">
      <alignment horizontal="left" vertical="top" wrapText="1"/>
    </xf>
    <xf numFmtId="0" fontId="8" fillId="9" borderId="12" xfId="0" applyFont="1" applyFill="1" applyBorder="1" applyAlignment="1" applyProtection="1">
      <alignment horizontal="center"/>
      <protection hidden="1"/>
    </xf>
    <xf numFmtId="0" fontId="8" fillId="9" borderId="14" xfId="0" applyFont="1" applyFill="1" applyBorder="1" applyAlignment="1" applyProtection="1">
      <alignment horizontal="center"/>
      <protection hidden="1"/>
    </xf>
    <xf numFmtId="0" fontId="31" fillId="9" borderId="3"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protection hidden="1"/>
    </xf>
    <xf numFmtId="0" fontId="6" fillId="2" borderId="13"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170" fontId="6" fillId="9" borderId="3" xfId="0" applyNumberFormat="1" applyFont="1" applyFill="1" applyBorder="1" applyAlignment="1" applyProtection="1">
      <alignment horizontal="left" indent="1"/>
      <protection hidden="1"/>
    </xf>
    <xf numFmtId="0" fontId="31" fillId="3" borderId="12" xfId="0" applyFont="1" applyFill="1" applyBorder="1" applyAlignment="1" applyProtection="1">
      <alignment horizontal="left" indent="1"/>
      <protection hidden="1"/>
    </xf>
    <xf numFmtId="0" fontId="31" fillId="3" borderId="14" xfId="0" applyFont="1" applyFill="1" applyBorder="1" applyAlignment="1" applyProtection="1">
      <alignment horizontal="left" indent="1"/>
      <protection hidden="1"/>
    </xf>
    <xf numFmtId="0" fontId="31" fillId="9" borderId="12" xfId="0" applyFont="1" applyFill="1" applyBorder="1" applyAlignment="1" applyProtection="1">
      <alignment horizontal="left" wrapText="1" indent="1"/>
      <protection hidden="1"/>
    </xf>
    <xf numFmtId="0" fontId="31" fillId="9" borderId="14" xfId="0" applyFont="1" applyFill="1" applyBorder="1" applyAlignment="1" applyProtection="1">
      <alignment horizontal="left" wrapText="1" indent="1"/>
      <protection hidden="1"/>
    </xf>
    <xf numFmtId="0" fontId="8" fillId="6" borderId="3" xfId="0" applyFont="1" applyFill="1" applyBorder="1" applyAlignment="1" applyProtection="1">
      <alignment horizontal="center" vertical="center" textRotation="90" wrapText="1"/>
      <protection hidden="1"/>
    </xf>
    <xf numFmtId="0" fontId="6" fillId="5" borderId="3" xfId="0" applyFont="1" applyFill="1" applyBorder="1" applyAlignment="1" applyProtection="1">
      <alignment horizontal="center" vertical="center" textRotation="90" wrapText="1"/>
      <protection hidden="1"/>
    </xf>
    <xf numFmtId="0" fontId="6" fillId="9" borderId="3" xfId="0" applyFont="1" applyFill="1" applyBorder="1" applyAlignment="1" applyProtection="1">
      <alignment horizontal="center"/>
      <protection hidden="1"/>
    </xf>
    <xf numFmtId="0" fontId="8" fillId="5" borderId="3" xfId="0" applyFont="1" applyFill="1" applyBorder="1" applyAlignment="1" applyProtection="1">
      <alignment horizontal="center" vertical="center" textRotation="90" wrapText="1"/>
      <protection hidden="1"/>
    </xf>
    <xf numFmtId="0" fontId="35" fillId="5" borderId="3" xfId="0" applyFont="1" applyFill="1" applyBorder="1" applyAlignment="1" applyProtection="1">
      <alignment horizontal="center" vertical="center" textRotation="90" wrapText="1"/>
      <protection hidden="1"/>
    </xf>
    <xf numFmtId="0" fontId="36" fillId="2" borderId="0" xfId="0" applyFont="1" applyFill="1" applyAlignment="1" applyProtection="1">
      <alignment horizontal="left" vertical="top" wrapText="1"/>
    </xf>
    <xf numFmtId="0" fontId="6" fillId="9" borderId="3" xfId="0" applyFont="1" applyFill="1" applyBorder="1" applyAlignment="1" applyProtection="1">
      <alignment horizontal="right" indent="1"/>
    </xf>
    <xf numFmtId="0" fontId="8" fillId="7" borderId="3" xfId="0" applyFont="1" applyFill="1" applyBorder="1" applyAlignment="1" applyProtection="1">
      <alignment horizontal="center" vertical="center"/>
      <protection hidden="1"/>
    </xf>
    <xf numFmtId="0" fontId="45" fillId="9" borderId="3" xfId="0" applyFont="1" applyFill="1" applyBorder="1" applyAlignment="1" applyProtection="1">
      <alignment horizontal="center" vertical="center"/>
    </xf>
    <xf numFmtId="0" fontId="6" fillId="2" borderId="28" xfId="0" applyFont="1" applyFill="1" applyBorder="1" applyAlignment="1" applyProtection="1">
      <alignment horizontal="center" vertical="center" textRotation="90"/>
      <protection hidden="1"/>
    </xf>
    <xf numFmtId="0" fontId="6" fillId="2" borderId="34" xfId="0" applyFont="1" applyFill="1" applyBorder="1" applyAlignment="1" applyProtection="1">
      <alignment horizontal="center" vertical="center" textRotation="90"/>
      <protection hidden="1"/>
    </xf>
    <xf numFmtId="0" fontId="6" fillId="2" borderId="38" xfId="0" applyFont="1" applyFill="1" applyBorder="1" applyAlignment="1" applyProtection="1">
      <alignment horizontal="center" vertical="center" textRotation="90"/>
      <protection hidden="1"/>
    </xf>
    <xf numFmtId="0" fontId="6" fillId="2" borderId="45" xfId="0" applyFont="1" applyFill="1" applyBorder="1" applyAlignment="1" applyProtection="1">
      <alignment horizontal="left" indent="9"/>
      <protection hidden="1"/>
    </xf>
    <xf numFmtId="0" fontId="6" fillId="2" borderId="46" xfId="0" applyFont="1" applyFill="1" applyBorder="1" applyAlignment="1" applyProtection="1">
      <alignment horizontal="left" indent="9"/>
      <protection hidden="1"/>
    </xf>
    <xf numFmtId="0" fontId="6" fillId="2" borderId="48" xfId="0" applyFont="1" applyFill="1" applyBorder="1" applyAlignment="1" applyProtection="1">
      <alignment horizontal="left" indent="9"/>
      <protection hidden="1"/>
    </xf>
    <xf numFmtId="0" fontId="6" fillId="2" borderId="49" xfId="0" applyFont="1" applyFill="1" applyBorder="1" applyAlignment="1" applyProtection="1">
      <alignment horizontal="left" indent="9"/>
      <protection hidden="1"/>
    </xf>
    <xf numFmtId="0" fontId="6" fillId="2" borderId="51" xfId="0" applyFont="1" applyFill="1" applyBorder="1" applyAlignment="1" applyProtection="1">
      <alignment horizontal="left" indent="9"/>
      <protection hidden="1"/>
    </xf>
    <xf numFmtId="0" fontId="6" fillId="2" borderId="52" xfId="0" applyFont="1" applyFill="1" applyBorder="1" applyAlignment="1" applyProtection="1">
      <alignment horizontal="left" indent="9"/>
      <protection hidden="1"/>
    </xf>
    <xf numFmtId="0" fontId="6" fillId="2" borderId="12" xfId="4" applyFont="1" applyFill="1" applyBorder="1" applyAlignment="1" applyProtection="1">
      <alignment horizontal="center"/>
      <protection hidden="1"/>
    </xf>
    <xf numFmtId="0" fontId="6" fillId="2" borderId="13" xfId="4" applyFont="1" applyFill="1" applyBorder="1" applyAlignment="1" applyProtection="1">
      <alignment horizontal="center"/>
      <protection hidden="1"/>
    </xf>
    <xf numFmtId="0" fontId="31" fillId="7" borderId="3" xfId="0" applyFont="1" applyFill="1" applyBorder="1" applyAlignment="1" applyProtection="1">
      <alignment horizontal="center"/>
      <protection hidden="1"/>
    </xf>
    <xf numFmtId="0" fontId="31" fillId="2" borderId="3" xfId="4" applyFont="1" applyFill="1" applyBorder="1" applyAlignment="1" applyProtection="1">
      <alignment horizontal="center" vertical="center" textRotation="90" wrapText="1"/>
      <protection hidden="1"/>
    </xf>
    <xf numFmtId="0" fontId="44" fillId="9" borderId="3" xfId="3" applyFont="1" applyFill="1" applyBorder="1" applyAlignment="1" applyProtection="1">
      <alignment horizontal="center" vertical="center" wrapText="1"/>
      <protection hidden="1"/>
    </xf>
    <xf numFmtId="0" fontId="44" fillId="9" borderId="3" xfId="3" applyFont="1" applyFill="1" applyBorder="1" applyAlignment="1" applyProtection="1">
      <alignment horizontal="center" vertical="center"/>
      <protection hidden="1"/>
    </xf>
    <xf numFmtId="0" fontId="6" fillId="2" borderId="3" xfId="3" applyFont="1" applyFill="1" applyBorder="1" applyAlignment="1" applyProtection="1">
      <alignment horizontal="center"/>
      <protection hidden="1"/>
    </xf>
    <xf numFmtId="0" fontId="2" fillId="2" borderId="3" xfId="3" applyFont="1" applyFill="1" applyBorder="1" applyAlignment="1" applyProtection="1">
      <alignment horizontal="center"/>
      <protection hidden="1"/>
    </xf>
  </cellXfs>
  <cellStyles count="8">
    <cellStyle name="Comma" xfId="1" builtinId="3"/>
    <cellStyle name="Normal" xfId="0" builtinId="0"/>
    <cellStyle name="Normal 2" xfId="2" xr:uid="{00000000-0005-0000-0000-000002000000}"/>
    <cellStyle name="Normal_Eliyahu 200 EQUIP" xfId="3" xr:uid="{00000000-0005-0000-0000-000003000000}"/>
    <cellStyle name="Normal_Eliyahu 200 EQUIP 2" xfId="6" xr:uid="{00000000-0005-0000-0000-000004000000}"/>
    <cellStyle name="Normal_EQUIP" xfId="4" xr:uid="{00000000-0005-0000-0000-000005000000}"/>
    <cellStyle name="Normal_EQUIP 2" xfId="7" xr:uid="{00000000-0005-0000-0000-000006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99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0">
                <a:effectLst/>
              </a:rPr>
              <a:t>Emergence of imagoes expressed as a percent of newly hatched larvae  (Briegel) vs tray depth (cm)</a:t>
            </a:r>
          </a:p>
        </c:rich>
      </c:tx>
      <c:layout>
        <c:manualLayout>
          <c:xMode val="edge"/>
          <c:yMode val="edge"/>
          <c:x val="9.1944444444444454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553149606299214E-2"/>
          <c:y val="0.15467592592592591"/>
          <c:w val="0.87122462817147861"/>
          <c:h val="0.73792468649752108"/>
        </c:manualLayout>
      </c:layout>
      <c:scatterChart>
        <c:scatterStyle val="lineMarker"/>
        <c:varyColors val="0"/>
        <c:ser>
          <c:idx val="0"/>
          <c:order val="0"/>
          <c:tx>
            <c:strRef>
              <c:f>'03 Pro Par'!$Q$8</c:f>
              <c:strCache>
                <c:ptCount val="1"/>
                <c:pt idx="0">
                  <c:v>survival</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838451443569553"/>
                  <c:y val="-0.58299323453219509"/>
                </c:manualLayout>
              </c:layout>
              <c:numFmt formatCode="General" sourceLinked="0"/>
              <c:spPr>
                <a:solidFill>
                  <a:schemeClr val="bg1"/>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rendlineLbl>
          </c:trendline>
          <c:xVal>
            <c:numRef>
              <c:f>'03 Pro Par'!$P$9:$P$14</c:f>
              <c:numCache>
                <c:formatCode>General</c:formatCode>
                <c:ptCount val="6"/>
                <c:pt idx="0">
                  <c:v>1</c:v>
                </c:pt>
                <c:pt idx="2">
                  <c:v>2</c:v>
                </c:pt>
                <c:pt idx="3">
                  <c:v>5</c:v>
                </c:pt>
                <c:pt idx="4">
                  <c:v>10</c:v>
                </c:pt>
                <c:pt idx="5">
                  <c:v>14</c:v>
                </c:pt>
              </c:numCache>
            </c:numRef>
          </c:xVal>
          <c:yVal>
            <c:numRef>
              <c:f>'03 Pro Par'!$Q$9:$Q$14</c:f>
              <c:numCache>
                <c:formatCode>General</c:formatCode>
                <c:ptCount val="6"/>
                <c:pt idx="0">
                  <c:v>0.88</c:v>
                </c:pt>
                <c:pt idx="2">
                  <c:v>0.65900000000000003</c:v>
                </c:pt>
                <c:pt idx="3">
                  <c:v>0.61199999999999999</c:v>
                </c:pt>
                <c:pt idx="4">
                  <c:v>0.52500000000000002</c:v>
                </c:pt>
                <c:pt idx="5">
                  <c:v>0.52500000000000002</c:v>
                </c:pt>
              </c:numCache>
            </c:numRef>
          </c:yVal>
          <c:smooth val="0"/>
          <c:extLst>
            <c:ext xmlns:c16="http://schemas.microsoft.com/office/drawing/2014/chart" uri="{C3380CC4-5D6E-409C-BE32-E72D297353CC}">
              <c16:uniqueId val="{00000000-789B-437F-9ACA-6BC138E66C8B}"/>
            </c:ext>
          </c:extLst>
        </c:ser>
        <c:dLbls>
          <c:showLegendKey val="0"/>
          <c:showVal val="0"/>
          <c:showCatName val="0"/>
          <c:showSerName val="0"/>
          <c:showPercent val="0"/>
          <c:showBubbleSize val="0"/>
        </c:dLbls>
        <c:axId val="130355200"/>
        <c:axId val="130356352"/>
      </c:scatterChart>
      <c:valAx>
        <c:axId val="130355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356352"/>
        <c:crossesAt val="0.5"/>
        <c:crossBetween val="midCat"/>
      </c:valAx>
      <c:valAx>
        <c:axId val="130356352"/>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355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A2-465D-B54B-74C8A8EA63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A2-465D-B54B-74C8A8EA63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A2-465D-B54B-74C8A8EA63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A2-465D-B54B-74C8A8EA63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A2-465D-B54B-74C8A8EA63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A2-465D-B54B-74C8A8EA63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 Diet formulation'!$B$6:$B$11</c:f>
              <c:strCache>
                <c:ptCount val="6"/>
                <c:pt idx="0">
                  <c:v>Beef liver powder</c:v>
                </c:pt>
                <c:pt idx="1">
                  <c:v>Tuna meal</c:v>
                </c:pt>
                <c:pt idx="2">
                  <c:v>Brewer yeast</c:v>
                </c:pt>
                <c:pt idx="3">
                  <c:v>BSF yeast</c:v>
                </c:pt>
                <c:pt idx="4">
                  <c:v>Component 5</c:v>
                </c:pt>
                <c:pt idx="5">
                  <c:v>Component 6</c:v>
                </c:pt>
              </c:strCache>
            </c:strRef>
          </c:cat>
          <c:val>
            <c:numRef>
              <c:f>'06 Diet formulation'!$C$6:$C$11</c:f>
              <c:numCache>
                <c:formatCode>0"%"</c:formatCode>
                <c:ptCount val="6"/>
                <c:pt idx="0">
                  <c:v>35</c:v>
                </c:pt>
                <c:pt idx="1">
                  <c:v>50</c:v>
                </c:pt>
                <c:pt idx="2">
                  <c:v>15</c:v>
                </c:pt>
                <c:pt idx="3">
                  <c:v>0</c:v>
                </c:pt>
                <c:pt idx="4">
                  <c:v>0</c:v>
                </c:pt>
                <c:pt idx="5">
                  <c:v>0</c:v>
                </c:pt>
              </c:numCache>
            </c:numRef>
          </c:val>
          <c:extLst>
            <c:ext xmlns:c16="http://schemas.microsoft.com/office/drawing/2014/chart" uri="{C3380CC4-5D6E-409C-BE32-E72D297353CC}">
              <c16:uniqueId val="{00000000-B34A-480E-9221-3A1042EC44F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water requirement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800721784776904"/>
          <c:y val="0.18560185185185185"/>
          <c:w val="0.40287467191601051"/>
          <c:h val="0.671457786526684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F7-4F04-AFFB-30A30C7574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F7-4F04-AFFB-30A30C7574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F7-4F04-AFFB-30A30C757415}"/>
              </c:ext>
            </c:extLst>
          </c:dPt>
          <c:cat>
            <c:strRef>
              <c:f>'11 Water'!$J$7:$J$9</c:f>
              <c:strCache>
                <c:ptCount val="3"/>
                <c:pt idx="0">
                  <c:v>rearing</c:v>
                </c:pt>
                <c:pt idx="1">
                  <c:v>equipment washing</c:v>
                </c:pt>
                <c:pt idx="2">
                  <c:v>room cleaning</c:v>
                </c:pt>
              </c:strCache>
            </c:strRef>
          </c:cat>
          <c:val>
            <c:numRef>
              <c:f>'11 Water'!$K$7:$K$9</c:f>
              <c:numCache>
                <c:formatCode>0" L/week"</c:formatCode>
                <c:ptCount val="3"/>
                <c:pt idx="0">
                  <c:v>1565.9385</c:v>
                </c:pt>
                <c:pt idx="1">
                  <c:v>437.5</c:v>
                </c:pt>
                <c:pt idx="2">
                  <c:v>801.37540000000013</c:v>
                </c:pt>
              </c:numCache>
            </c:numRef>
          </c:val>
          <c:extLst>
            <c:ext xmlns:c16="http://schemas.microsoft.com/office/drawing/2014/chart" uri="{C3380CC4-5D6E-409C-BE32-E72D297353CC}">
              <c16:uniqueId val="{00000000-8D5B-4248-BECA-515286A0D24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29214402991782E-2"/>
          <c:y val="9.7613153420980869E-2"/>
          <c:w val="0.46682405715965081"/>
          <c:h val="0.77843864989011513"/>
        </c:manualLayout>
      </c:layout>
      <c:pieChart>
        <c:varyColors val="1"/>
        <c:ser>
          <c:idx val="0"/>
          <c:order val="0"/>
          <c:dPt>
            <c:idx val="0"/>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1-B1E3-4D47-B179-6D409B484CBD}"/>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B1E3-4D47-B179-6D409B484C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1E3-4D47-B179-6D409B484CBD}"/>
              </c:ext>
            </c:extLst>
          </c:dPt>
          <c:dPt>
            <c:idx val="3"/>
            <c:bubble3D val="0"/>
            <c:spPr>
              <a:solidFill>
                <a:schemeClr val="tx2">
                  <a:lumMod val="40000"/>
                  <a:lumOff val="60000"/>
                </a:schemeClr>
              </a:solidFill>
              <a:ln w="19050">
                <a:solidFill>
                  <a:schemeClr val="lt1"/>
                </a:solidFill>
              </a:ln>
              <a:effectLst/>
            </c:spPr>
            <c:extLst>
              <c:ext xmlns:c16="http://schemas.microsoft.com/office/drawing/2014/chart" uri="{C3380CC4-5D6E-409C-BE32-E72D297353CC}">
                <c16:uniqueId val="{00000007-B1E3-4D47-B179-6D409B484CBD}"/>
              </c:ext>
            </c:extLst>
          </c:dPt>
          <c:dPt>
            <c:idx val="4"/>
            <c:bubble3D val="0"/>
            <c:spPr>
              <a:solidFill>
                <a:schemeClr val="tx2">
                  <a:lumMod val="20000"/>
                  <a:lumOff val="80000"/>
                </a:schemeClr>
              </a:solidFill>
              <a:ln w="19050">
                <a:solidFill>
                  <a:schemeClr val="lt1"/>
                </a:solidFill>
              </a:ln>
              <a:effectLst/>
            </c:spPr>
            <c:extLst>
              <c:ext xmlns:c16="http://schemas.microsoft.com/office/drawing/2014/chart" uri="{C3380CC4-5D6E-409C-BE32-E72D297353CC}">
                <c16:uniqueId val="{00000009-B1E3-4D47-B179-6D409B484C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'12 Area cal.'!$K$11:$L$15</c:f>
              <c:multiLvlStrCache>
                <c:ptCount val="5"/>
                <c:lvl>
                  <c:pt idx="0">
                    <c:v>larvae</c:v>
                  </c:pt>
                  <c:pt idx="1">
                    <c:v>adults</c:v>
                  </c:pt>
                  <c:pt idx="2">
                    <c:v>common</c:v>
                  </c:pt>
                  <c:pt idx="3">
                    <c:v>males handling</c:v>
                  </c:pt>
                  <c:pt idx="4">
                    <c:v>common</c:v>
                  </c:pt>
                </c:lvl>
                <c:lvl>
                  <c:pt idx="0">
                    <c:v>mass rearing facility</c:v>
                  </c:pt>
                  <c:pt idx="3">
                    <c:v>release facility</c:v>
                  </c:pt>
                </c:lvl>
              </c:multiLvlStrCache>
            </c:multiLvlStrRef>
          </c:cat>
          <c:val>
            <c:numRef>
              <c:f>'12 Area cal.'!$M$11:$M$15</c:f>
              <c:numCache>
                <c:formatCode>#,##0" m2"</c:formatCode>
                <c:ptCount val="5"/>
                <c:pt idx="0">
                  <c:v>24.96</c:v>
                </c:pt>
                <c:pt idx="1">
                  <c:v>12.055999999999999</c:v>
                </c:pt>
                <c:pt idx="2">
                  <c:v>209.4016</c:v>
                </c:pt>
                <c:pt idx="3">
                  <c:v>25.043999999999997</c:v>
                </c:pt>
                <c:pt idx="4">
                  <c:v>104.8044</c:v>
                </c:pt>
              </c:numCache>
            </c:numRef>
          </c:val>
          <c:extLst>
            <c:ext xmlns:c16="http://schemas.microsoft.com/office/drawing/2014/chart" uri="{C3380CC4-5D6E-409C-BE32-E72D297353CC}">
              <c16:uniqueId val="{0000000A-B1E3-4D47-B179-6D409B484C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0588603966638355"/>
          <c:y val="0.12161502244872355"/>
          <c:w val="0.35414145910976752"/>
          <c:h val="0.77743397835757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The%20FAO-IAEA%20Spredasheet%20for%20Designing%20and%20Operation%20of%20Mosquito%20Mass%20Rearing%20Facilities.docx" TargetMode="External"/><Relationship Id="rId1" Type="http://schemas.openxmlformats.org/officeDocument/2006/relationships/hyperlink" Target="file:///C:\Users\pppp205.pdf" TargetMode="Externa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12.xml.rels><?xml version="1.0" encoding="UTF-8" standalone="yes"?>
<Relationships xmlns="http://schemas.openxmlformats.org/package/2006/relationships"><Relationship Id="rId1" Type="http://schemas.openxmlformats.org/officeDocument/2006/relationships/hyperlink" Target="#MENU!A1"/></Relationships>
</file>

<file path=xl/drawings/_rels/drawing1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MENU!A1"/></Relationships>
</file>

<file path=xl/drawings/_rels/drawing1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MENU!A1"/></Relationships>
</file>

<file path=xl/drawings/_rels/drawing15.xml.rels><?xml version="1.0" encoding="UTF-8" standalone="yes"?>
<Relationships xmlns="http://schemas.openxmlformats.org/package/2006/relationships"><Relationship Id="rId1" Type="http://schemas.openxmlformats.org/officeDocument/2006/relationships/hyperlink" Target="#MENU!A1"/></Relationships>
</file>

<file path=xl/drawings/_rels/drawing16.xml.rels><?xml version="1.0" encoding="UTF-8" standalone="yes"?>
<Relationships xmlns="http://schemas.openxmlformats.org/package/2006/relationships"><Relationship Id="rId1" Type="http://schemas.openxmlformats.org/officeDocument/2006/relationships/hyperlink" Target="#MENU!A1"/></Relationships>
</file>

<file path=xl/drawings/_rels/drawing17.xml.rels><?xml version="1.0" encoding="UTF-8" standalone="yes"?>
<Relationships xmlns="http://schemas.openxmlformats.org/package/2006/relationships"><Relationship Id="rId1" Type="http://schemas.openxmlformats.org/officeDocument/2006/relationships/hyperlink" Target="#MENU!A1"/></Relationships>
</file>

<file path=xl/drawings/_rels/drawing18.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8" Type="http://schemas.openxmlformats.org/officeDocument/2006/relationships/hyperlink" Target="#'05 Mass rearing Facility'!A1"/><Relationship Id="rId13" Type="http://schemas.openxmlformats.org/officeDocument/2006/relationships/hyperlink" Target="#'12 Area cal.'!A1"/><Relationship Id="rId18" Type="http://schemas.openxmlformats.org/officeDocument/2006/relationships/image" Target="../media/image2.png"/><Relationship Id="rId3" Type="http://schemas.openxmlformats.org/officeDocument/2006/relationships/hyperlink" Target="#'03 Pro Par'!A1"/><Relationship Id="rId7" Type="http://schemas.openxmlformats.org/officeDocument/2006/relationships/hyperlink" Target="#'04 Release Facility'!A1"/><Relationship Id="rId12" Type="http://schemas.openxmlformats.org/officeDocument/2006/relationships/hyperlink" Target="#'14 Workload'!A1"/><Relationship Id="rId17" Type="http://schemas.openxmlformats.org/officeDocument/2006/relationships/hyperlink" Target="#INTRO!A1"/><Relationship Id="rId2" Type="http://schemas.openxmlformats.org/officeDocument/2006/relationships/hyperlink" Target="#'08 Storage of diet ingr.'!A1"/><Relationship Id="rId16" Type="http://schemas.openxmlformats.org/officeDocument/2006/relationships/hyperlink" Target="#'13 Const. cost'!A1"/><Relationship Id="rId1" Type="http://schemas.openxmlformats.org/officeDocument/2006/relationships/hyperlink" Target="#'10 H T Env'!A1"/><Relationship Id="rId6" Type="http://schemas.openxmlformats.org/officeDocument/2006/relationships/hyperlink" Target="#'06 Diet formulation'!A1"/><Relationship Id="rId11" Type="http://schemas.openxmlformats.org/officeDocument/2006/relationships/hyperlink" Target="#'11 Water'!A1"/><Relationship Id="rId5" Type="http://schemas.openxmlformats.org/officeDocument/2006/relationships/hyperlink" Target="#'09 Rearing Equip.'!A1"/><Relationship Id="rId15" Type="http://schemas.openxmlformats.org/officeDocument/2006/relationships/hyperlink" Target="#'16 Diet-cost'!A1"/><Relationship Id="rId10" Type="http://schemas.openxmlformats.org/officeDocument/2006/relationships/hyperlink" Target="#'07 Diet requirements'!A1"/><Relationship Id="rId4" Type="http://schemas.openxmlformats.org/officeDocument/2006/relationships/hyperlink" Target="#'02 Mass rearing Process'!A1"/><Relationship Id="rId9" Type="http://schemas.openxmlformats.org/officeDocument/2006/relationships/hyperlink" Target="#'15 Equipment-budget'!A1"/><Relationship Id="rId14" Type="http://schemas.openxmlformats.org/officeDocument/2006/relationships/hyperlink" Target="#'01 Start up &amp; Summary'!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186055</xdr:colOff>
      <xdr:row>1</xdr:row>
      <xdr:rowOff>45720</xdr:rowOff>
    </xdr:from>
    <xdr:to>
      <xdr:col>12</xdr:col>
      <xdr:colOff>587482</xdr:colOff>
      <xdr:row>9</xdr:row>
      <xdr:rowOff>0</xdr:rowOff>
    </xdr:to>
    <xdr:sp macro="" textlink="">
      <xdr:nvSpPr>
        <xdr:cNvPr id="6154" name="Text Box 10">
          <a:extLst>
            <a:ext uri="{FF2B5EF4-FFF2-40B4-BE49-F238E27FC236}">
              <a16:creationId xmlns:a16="http://schemas.microsoft.com/office/drawing/2014/main" id="{00000000-0008-0000-0000-00000A180000}"/>
            </a:ext>
          </a:extLst>
        </xdr:cNvPr>
        <xdr:cNvSpPr txBox="1">
          <a:spLocks noChangeArrowheads="1"/>
        </xdr:cNvSpPr>
      </xdr:nvSpPr>
      <xdr:spPr bwMode="auto">
        <a:xfrm>
          <a:off x="2472055" y="2109470"/>
          <a:ext cx="7259427" cy="1224280"/>
        </a:xfrm>
        <a:prstGeom prst="rect">
          <a:avLst/>
        </a:prstGeom>
        <a:solidFill>
          <a:schemeClr val="accent3">
            <a:lumMod val="60000"/>
            <a:lumOff val="40000"/>
          </a:schemeClr>
        </a:solidFill>
        <a:ln w="9525">
          <a:solidFill>
            <a:srgbClr val="000000"/>
          </a:solidFill>
          <a:miter lim="800000"/>
          <a:headEnd/>
          <a:tailEnd/>
        </a:ln>
      </xdr:spPr>
      <xdr:txBody>
        <a:bodyPr vertOverflow="clip" wrap="square" lIns="36576" tIns="32004" rIns="36576" bIns="0" anchor="ctr" upright="1"/>
        <a:lstStyle/>
        <a:p>
          <a:pPr algn="ctr" rtl="0">
            <a:lnSpc>
              <a:spcPts val="1900"/>
            </a:lnSpc>
            <a:defRPr sz="1000"/>
          </a:pPr>
          <a:r>
            <a:rPr lang="es-AR" sz="1600" b="1" i="0" u="none" strike="noStrike" baseline="0">
              <a:solidFill>
                <a:srgbClr val="000000"/>
              </a:solidFill>
              <a:latin typeface="Arial"/>
              <a:cs typeface="Arial"/>
            </a:rPr>
            <a:t>FAO/IAEA INTERACTIVE SPREADSHEET FOR DESIGNING </a:t>
          </a:r>
        </a:p>
        <a:p>
          <a:pPr algn="ctr" rtl="0">
            <a:lnSpc>
              <a:spcPts val="1900"/>
            </a:lnSpc>
            <a:defRPr sz="1000"/>
          </a:pPr>
          <a:r>
            <a:rPr lang="es-AR" sz="1600" b="1" i="0" u="none" strike="noStrike" baseline="0">
              <a:solidFill>
                <a:srgbClr val="000000"/>
              </a:solidFill>
              <a:latin typeface="Arial"/>
              <a:cs typeface="Arial"/>
            </a:rPr>
            <a:t>MOSQUITO MASS REARING AND MALE HANDLING FACILITIES </a:t>
          </a:r>
        </a:p>
        <a:p>
          <a:pPr algn="ctr" rtl="0">
            <a:lnSpc>
              <a:spcPts val="1900"/>
            </a:lnSpc>
            <a:defRPr sz="1000"/>
          </a:pPr>
          <a:endParaRPr lang="es-AR" sz="1600" b="1" i="0" u="none" strike="noStrike" baseline="0">
            <a:solidFill>
              <a:srgbClr val="000000"/>
            </a:solidFill>
            <a:latin typeface="Arial"/>
            <a:cs typeface="Arial"/>
          </a:endParaRPr>
        </a:p>
        <a:p>
          <a:pPr algn="ctr" rtl="0">
            <a:lnSpc>
              <a:spcPts val="1800"/>
            </a:lnSpc>
            <a:defRPr sz="1000"/>
          </a:pPr>
          <a:r>
            <a:rPr lang="es-AR" sz="2800" b="1" i="1" u="none" strike="noStrike" baseline="0">
              <a:solidFill>
                <a:srgbClr val="000000"/>
              </a:solidFill>
              <a:latin typeface="Arial"/>
              <a:cs typeface="Arial"/>
            </a:rPr>
            <a:t>Aedes ssp       </a:t>
          </a:r>
          <a:r>
            <a:rPr lang="es-AR" sz="1600" b="1" i="0" u="none" strike="noStrike" baseline="0">
              <a:solidFill>
                <a:sysClr val="windowText" lastClr="000000"/>
              </a:solidFill>
              <a:effectLst/>
              <a:latin typeface="Arial" panose="020B0604020202020204" pitchFamily="34" charset="0"/>
              <a:ea typeface="+mn-ea"/>
              <a:cs typeface="Arial" panose="020B0604020202020204" pitchFamily="34" charset="0"/>
            </a:rPr>
            <a:t>v</a:t>
          </a:r>
          <a:r>
            <a:rPr lang="es-AR" sz="1600" b="1" i="0" baseline="0">
              <a:effectLst/>
              <a:latin typeface="Arial" panose="020B0604020202020204" pitchFamily="34" charset="0"/>
              <a:ea typeface="+mn-ea"/>
              <a:cs typeface="Arial" panose="020B0604020202020204" pitchFamily="34" charset="0"/>
            </a:rPr>
            <a:t> 1.4 </a:t>
          </a:r>
          <a:endParaRPr lang="es-AR" sz="1600" b="1" i="1"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180975</xdr:colOff>
      <xdr:row>10</xdr:row>
      <xdr:rowOff>47625</xdr:rowOff>
    </xdr:from>
    <xdr:to>
      <xdr:col>7</xdr:col>
      <xdr:colOff>504825</xdr:colOff>
      <xdr:row>14</xdr:row>
      <xdr:rowOff>47625</xdr:rowOff>
    </xdr:to>
    <xdr:grpSp>
      <xdr:nvGrpSpPr>
        <xdr:cNvPr id="166817" name="Group 23">
          <a:hlinkClick xmlns:r="http://schemas.openxmlformats.org/officeDocument/2006/relationships" r:id="rId1"/>
          <a:extLst>
            <a:ext uri="{FF2B5EF4-FFF2-40B4-BE49-F238E27FC236}">
              <a16:creationId xmlns:a16="http://schemas.microsoft.com/office/drawing/2014/main" id="{00000000-0008-0000-0000-0000A18B0200}"/>
            </a:ext>
          </a:extLst>
        </xdr:cNvPr>
        <xdr:cNvGrpSpPr>
          <a:grpSpLocks/>
        </xdr:cNvGrpSpPr>
      </xdr:nvGrpSpPr>
      <xdr:grpSpPr bwMode="auto">
        <a:xfrm>
          <a:off x="3228975" y="1635125"/>
          <a:ext cx="2609850" cy="635000"/>
          <a:chOff x="542" y="427"/>
          <a:chExt cx="218" cy="69"/>
        </a:xfrm>
        <a:solidFill>
          <a:schemeClr val="accent1">
            <a:lumMod val="40000"/>
            <a:lumOff val="60000"/>
          </a:schemeClr>
        </a:solidFill>
      </xdr:grpSpPr>
      <xdr:sp macro="" textlink="">
        <xdr:nvSpPr>
          <xdr:cNvPr id="166824" name="Rectangle 21">
            <a:extLst>
              <a:ext uri="{FF2B5EF4-FFF2-40B4-BE49-F238E27FC236}">
                <a16:creationId xmlns:a16="http://schemas.microsoft.com/office/drawing/2014/main" id="{00000000-0008-0000-0000-0000A88B0200}"/>
              </a:ext>
            </a:extLst>
          </xdr:cNvPr>
          <xdr:cNvSpPr>
            <a:spLocks noChangeArrowheads="1"/>
          </xdr:cNvSpPr>
        </xdr:nvSpPr>
        <xdr:spPr bwMode="auto">
          <a:xfrm>
            <a:off x="542" y="427"/>
            <a:ext cx="218" cy="69"/>
          </a:xfrm>
          <a:prstGeom prst="rect">
            <a:avLst/>
          </a:prstGeom>
          <a:grpFill/>
          <a:ln w="9525">
            <a:solidFill>
              <a:srgbClr val="000000"/>
            </a:solidFill>
            <a:miter lim="800000"/>
            <a:headEnd/>
            <a:tailEnd/>
          </a:ln>
        </xdr:spPr>
      </xdr:sp>
      <xdr:sp macro="" textlink="">
        <xdr:nvSpPr>
          <xdr:cNvPr id="6156" name="Text Box 12">
            <a:hlinkClick xmlns:r="http://schemas.openxmlformats.org/officeDocument/2006/relationships" r:id="rId2"/>
            <a:extLst>
              <a:ext uri="{FF2B5EF4-FFF2-40B4-BE49-F238E27FC236}">
                <a16:creationId xmlns:a16="http://schemas.microsoft.com/office/drawing/2014/main" id="{00000000-0008-0000-0000-00000C180000}"/>
              </a:ext>
            </a:extLst>
          </xdr:cNvPr>
          <xdr:cNvSpPr txBox="1">
            <a:spLocks noChangeArrowheads="1"/>
          </xdr:cNvSpPr>
        </xdr:nvSpPr>
        <xdr:spPr bwMode="auto">
          <a:xfrm>
            <a:off x="564" y="437"/>
            <a:ext cx="177" cy="50"/>
          </a:xfrm>
          <a:prstGeom prst="rect">
            <a:avLst/>
          </a:prstGeom>
          <a:grpFill/>
          <a:ln w="9525">
            <a:noFill/>
            <a:miter lim="800000"/>
            <a:headEnd/>
            <a:tailEnd/>
          </a:ln>
        </xdr:spPr>
        <xdr:txBody>
          <a:bodyPr vertOverflow="clip" wrap="square" lIns="27432" tIns="22860" rIns="27432" bIns="0" anchor="ctr" upright="1"/>
          <a:lstStyle/>
          <a:p>
            <a:pPr algn="ctr" rtl="0">
              <a:defRPr sz="1000"/>
            </a:pPr>
            <a:r>
              <a:rPr lang="en-AU" sz="1000" b="0" i="0" strike="noStrike">
                <a:solidFill>
                  <a:srgbClr val="000000"/>
                </a:solidFill>
                <a:latin typeface="Arial"/>
                <a:cs typeface="Arial"/>
              </a:rPr>
              <a:t>  </a:t>
            </a:r>
            <a:r>
              <a:rPr lang="en-AU" sz="1200" b="1" i="0" strike="noStrike">
                <a:solidFill>
                  <a:srgbClr val="000000"/>
                </a:solidFill>
                <a:latin typeface="Arial"/>
                <a:cs typeface="Arial"/>
              </a:rPr>
              <a:t>GO TO MANUAL</a:t>
            </a:r>
          </a:p>
        </xdr:txBody>
      </xdr:sp>
    </xdr:grpSp>
    <xdr:clientData/>
  </xdr:twoCellAnchor>
  <xdr:twoCellAnchor>
    <xdr:from>
      <xdr:col>8</xdr:col>
      <xdr:colOff>257175</xdr:colOff>
      <xdr:row>10</xdr:row>
      <xdr:rowOff>47625</xdr:rowOff>
    </xdr:from>
    <xdr:to>
      <xdr:col>11</xdr:col>
      <xdr:colOff>581025</xdr:colOff>
      <xdr:row>14</xdr:row>
      <xdr:rowOff>66675</xdr:rowOff>
    </xdr:to>
    <xdr:grpSp>
      <xdr:nvGrpSpPr>
        <xdr:cNvPr id="166818" name="Group 19">
          <a:hlinkClick xmlns:r="http://schemas.openxmlformats.org/officeDocument/2006/relationships" r:id="rId3"/>
          <a:extLst>
            <a:ext uri="{FF2B5EF4-FFF2-40B4-BE49-F238E27FC236}">
              <a16:creationId xmlns:a16="http://schemas.microsoft.com/office/drawing/2014/main" id="{00000000-0008-0000-0000-0000A28B0200}"/>
            </a:ext>
          </a:extLst>
        </xdr:cNvPr>
        <xdr:cNvGrpSpPr>
          <a:grpSpLocks/>
        </xdr:cNvGrpSpPr>
      </xdr:nvGrpSpPr>
      <xdr:grpSpPr bwMode="auto">
        <a:xfrm>
          <a:off x="6353175" y="1635125"/>
          <a:ext cx="2609850" cy="654050"/>
          <a:chOff x="232" y="400"/>
          <a:chExt cx="219" cy="70"/>
        </a:xfrm>
        <a:solidFill>
          <a:schemeClr val="accent6">
            <a:lumMod val="60000"/>
            <a:lumOff val="40000"/>
          </a:schemeClr>
        </a:solidFill>
      </xdr:grpSpPr>
      <xdr:sp macro="" textlink="">
        <xdr:nvSpPr>
          <xdr:cNvPr id="166822" name="Rectangle 18">
            <a:extLst>
              <a:ext uri="{FF2B5EF4-FFF2-40B4-BE49-F238E27FC236}">
                <a16:creationId xmlns:a16="http://schemas.microsoft.com/office/drawing/2014/main" id="{00000000-0008-0000-0000-0000A68B0200}"/>
              </a:ext>
            </a:extLst>
          </xdr:cNvPr>
          <xdr:cNvSpPr>
            <a:spLocks noChangeArrowheads="1"/>
          </xdr:cNvSpPr>
        </xdr:nvSpPr>
        <xdr:spPr bwMode="auto">
          <a:xfrm>
            <a:off x="232" y="400"/>
            <a:ext cx="219" cy="70"/>
          </a:xfrm>
          <a:prstGeom prst="rect">
            <a:avLst/>
          </a:prstGeom>
          <a:grpFill/>
          <a:ln w="9525">
            <a:solidFill>
              <a:srgbClr val="000000"/>
            </a:solidFill>
            <a:miter lim="800000"/>
            <a:headEnd/>
            <a:tailEnd/>
          </a:ln>
        </xdr:spPr>
      </xdr:sp>
      <xdr:sp macro="" textlink="">
        <xdr:nvSpPr>
          <xdr:cNvPr id="6160" name="Text Box 16">
            <a:extLst>
              <a:ext uri="{FF2B5EF4-FFF2-40B4-BE49-F238E27FC236}">
                <a16:creationId xmlns:a16="http://schemas.microsoft.com/office/drawing/2014/main" id="{00000000-0008-0000-0000-000010180000}"/>
              </a:ext>
            </a:extLst>
          </xdr:cNvPr>
          <xdr:cNvSpPr txBox="1">
            <a:spLocks noChangeArrowheads="1"/>
          </xdr:cNvSpPr>
        </xdr:nvSpPr>
        <xdr:spPr bwMode="auto">
          <a:xfrm>
            <a:off x="244" y="413"/>
            <a:ext cx="197" cy="43"/>
          </a:xfrm>
          <a:prstGeom prst="rect">
            <a:avLst/>
          </a:prstGeom>
          <a:solidFill>
            <a:schemeClr val="accent6">
              <a:lumMod val="60000"/>
              <a:lumOff val="40000"/>
            </a:schemeClr>
          </a:solidFill>
          <a:ln w="9525">
            <a:noFill/>
            <a:miter lim="800000"/>
            <a:headEnd/>
            <a:tailEnd/>
          </a:ln>
        </xdr:spPr>
        <xdr:txBody>
          <a:bodyPr vertOverflow="clip" wrap="square" lIns="27432" tIns="22860" rIns="27432" bIns="0" anchor="ctr" upright="1"/>
          <a:lstStyle/>
          <a:p>
            <a:pPr algn="ctr" rtl="0">
              <a:defRPr sz="1000"/>
            </a:pPr>
            <a:r>
              <a:rPr lang="en-AU" sz="1000" b="0" i="0" strike="noStrike">
                <a:solidFill>
                  <a:srgbClr val="000000"/>
                </a:solidFill>
                <a:latin typeface="Arial"/>
                <a:cs typeface="Arial"/>
              </a:rPr>
              <a:t>  </a:t>
            </a:r>
            <a:r>
              <a:rPr lang="en-AU" sz="1200" b="1" i="0" strike="noStrike">
                <a:solidFill>
                  <a:srgbClr val="000000"/>
                </a:solidFill>
                <a:latin typeface="Arial"/>
                <a:cs typeface="Arial"/>
              </a:rPr>
              <a:t>GO TO SPREADSHEET MAIN MENU</a:t>
            </a:r>
          </a:p>
        </xdr:txBody>
      </xdr:sp>
    </xdr:grpSp>
    <xdr:clientData/>
  </xdr:twoCellAnchor>
  <xdr:twoCellAnchor>
    <xdr:from>
      <xdr:col>3</xdr:col>
      <xdr:colOff>305593</xdr:colOff>
      <xdr:row>18</xdr:row>
      <xdr:rowOff>15875</xdr:rowOff>
    </xdr:from>
    <xdr:to>
      <xdr:col>13</xdr:col>
      <xdr:colOff>47625</xdr:colOff>
      <xdr:row>37</xdr:row>
      <xdr:rowOff>95250</xdr:rowOff>
    </xdr:to>
    <xdr:sp macro="" textlink="">
      <xdr:nvSpPr>
        <xdr:cNvPr id="6177" name="Text Box 33">
          <a:extLst>
            <a:ext uri="{FF2B5EF4-FFF2-40B4-BE49-F238E27FC236}">
              <a16:creationId xmlns:a16="http://schemas.microsoft.com/office/drawing/2014/main" id="{00000000-0008-0000-0000-000021180000}"/>
            </a:ext>
          </a:extLst>
        </xdr:cNvPr>
        <xdr:cNvSpPr txBox="1">
          <a:spLocks noChangeArrowheads="1"/>
        </xdr:cNvSpPr>
      </xdr:nvSpPr>
      <xdr:spPr bwMode="auto">
        <a:xfrm>
          <a:off x="2591593" y="5016500"/>
          <a:ext cx="7362032" cy="3246438"/>
        </a:xfrm>
        <a:prstGeom prst="rect">
          <a:avLst/>
        </a:prstGeom>
        <a:solidFill>
          <a:srgbClr val="FFFFFF"/>
        </a:solidFill>
        <a:ln w="76200">
          <a:noFill/>
          <a:miter lim="800000"/>
          <a:headEnd/>
          <a:tailEnd/>
        </a:ln>
      </xdr:spPr>
      <xdr:txBody>
        <a:bodyPr vertOverflow="clip" wrap="square" lIns="36576" tIns="27432" rIns="0" bIns="0" anchor="t" upright="1"/>
        <a:lstStyle/>
        <a:p>
          <a:pPr algn="l" rtl="0">
            <a:defRPr sz="1000"/>
          </a:pPr>
          <a:r>
            <a:rPr lang="es-AR" sz="1200" b="0" i="0" u="none" strike="noStrike" baseline="0">
              <a:solidFill>
                <a:srgbClr val="000000"/>
              </a:solidFill>
              <a:latin typeface="Arial"/>
              <a:cs typeface="Arial"/>
            </a:rPr>
            <a:t>                                                      </a:t>
          </a:r>
          <a:r>
            <a:rPr lang="es-AR" sz="1200" b="1" i="0" u="none" strike="noStrike" baseline="0">
              <a:solidFill>
                <a:srgbClr val="000000"/>
              </a:solidFill>
              <a:latin typeface="Arial"/>
              <a:cs typeface="Arial"/>
            </a:rPr>
            <a:t>  </a:t>
          </a:r>
        </a:p>
        <a:p>
          <a:pPr algn="l" rtl="0">
            <a:defRPr sz="1000"/>
          </a:pPr>
          <a:r>
            <a:rPr lang="es-AR" sz="1200" b="1" i="0" u="none" strike="noStrike" baseline="0">
              <a:solidFill>
                <a:srgbClr val="000000"/>
              </a:solidFill>
              <a:latin typeface="Arial"/>
              <a:cs typeface="Arial"/>
            </a:rPr>
            <a:t>                                                              INTRODUCTION</a:t>
          </a:r>
        </a:p>
        <a:p>
          <a:pPr algn="l" rtl="0">
            <a:defRPr sz="1000"/>
          </a:pPr>
          <a:endParaRPr lang="es-AR" sz="1200" b="0" i="0" u="none" strike="noStrike" baseline="0">
            <a:solidFill>
              <a:srgbClr val="000000"/>
            </a:solidFill>
            <a:latin typeface="Arial"/>
            <a:cs typeface="Arial"/>
          </a:endParaRPr>
        </a:p>
        <a:p>
          <a:pPr algn="l" rtl="0">
            <a:defRPr sz="1000"/>
          </a:pPr>
          <a:r>
            <a:rPr lang="es-AR" sz="1200" b="0" i="0" u="none" strike="noStrike" baseline="0">
              <a:solidFill>
                <a:srgbClr val="000000"/>
              </a:solidFill>
              <a:latin typeface="Calibri"/>
            </a:rPr>
            <a:t>The FAO/IAEA Interactive Spreadsheet V.1.4 is to be used for the design of insect mass rearing facilities for Mosquito. It can assist in technical and economic decision making processes associated with the design construction, costing and operation of mass rearing facilities.</a:t>
          </a:r>
        </a:p>
        <a:p>
          <a:pPr algn="l" rtl="0">
            <a:defRPr sz="1000"/>
          </a:pPr>
          <a:endParaRPr lang="es-AR" sz="1200" b="1" i="0" u="none" strike="noStrike" baseline="0">
            <a:solidFill>
              <a:srgbClr val="000000"/>
            </a:solidFill>
            <a:latin typeface="Calibri"/>
          </a:endParaRPr>
        </a:p>
        <a:p>
          <a:pPr algn="l" rtl="0">
            <a:defRPr sz="1000"/>
          </a:pPr>
          <a:r>
            <a:rPr lang="es-AR" sz="1200" b="0" i="0" u="none" strike="noStrike" baseline="0">
              <a:solidFill>
                <a:srgbClr val="000000"/>
              </a:solidFill>
              <a:latin typeface="Calibri"/>
            </a:rPr>
            <a:t>The Model is user-friendly and thus largely self-explanatory. Nevertheless, it includes a basic instruction manual that has been prepared to guide the user, and should be used together with the software. Ideally the Model should be used as a support  tool by working groups aiming at assessing facility design, investment and possible economic returns from facilities of different sizes and production capacities. The working group should include an entomologist with experience in mass rearing management and mass rearing facility design, an architect, a civil engineer and an A/C expert.</a:t>
          </a:r>
        </a:p>
        <a:p>
          <a:pPr algn="l" rtl="0">
            <a:defRPr sz="1000"/>
          </a:pPr>
          <a:endParaRPr lang="es-AR" sz="1200" b="0" i="0" u="none" strike="noStrike" baseline="0">
            <a:solidFill>
              <a:srgbClr val="000000"/>
            </a:solidFill>
            <a:latin typeface="Calibri"/>
          </a:endParaRPr>
        </a:p>
        <a:p>
          <a:pPr algn="l" rtl="0">
            <a:defRPr sz="1000"/>
          </a:pPr>
          <a:r>
            <a:rPr lang="es-AR" sz="1200" b="0" i="0" u="none" strike="noStrike" baseline="0">
              <a:solidFill>
                <a:srgbClr val="000000"/>
              </a:solidFill>
              <a:latin typeface="Calibri"/>
            </a:rPr>
            <a:t>This spreadsheet  has been developed  by the </a:t>
          </a:r>
          <a:r>
            <a:rPr lang="es-AR" sz="1400" b="1" i="0" u="none" strike="noStrike" baseline="0">
              <a:solidFill>
                <a:srgbClr val="000000"/>
              </a:solidFill>
              <a:latin typeface="Calibri"/>
            </a:rPr>
            <a:t>Insect Pest Control Section  of the Joint FAO/IAEA Division.</a:t>
          </a:r>
        </a:p>
        <a:p>
          <a:pPr algn="l" rtl="0">
            <a:defRPr sz="1000"/>
          </a:pPr>
          <a:endParaRPr lang="es-AR" sz="1200" b="0" i="0" u="none" strike="noStrike" baseline="0">
            <a:solidFill>
              <a:srgbClr val="000000"/>
            </a:solidFill>
            <a:latin typeface="Calibri"/>
          </a:endParaRPr>
        </a:p>
        <a:p>
          <a:pPr algn="l" rtl="0">
            <a:defRPr sz="1000"/>
          </a:pPr>
          <a:endParaRPr lang="es-AR" sz="1200" b="1" i="0" u="none" strike="noStrike" baseline="0">
            <a:solidFill>
              <a:srgbClr val="000000"/>
            </a:solidFill>
            <a:latin typeface="Calibri"/>
          </a:endParaRPr>
        </a:p>
        <a:p>
          <a:pPr algn="l" rtl="0">
            <a:defRPr sz="1000"/>
          </a:pPr>
          <a:r>
            <a:rPr lang="es-AR" sz="1600" b="0" i="0" u="none" strike="noStrike" baseline="0">
              <a:solidFill>
                <a:srgbClr val="000000"/>
              </a:solidFill>
              <a:latin typeface="Calibri"/>
            </a:rPr>
            <a:t> </a:t>
          </a:r>
          <a:endParaRPr lang="es-AR" sz="1600" b="1" i="0" u="none" strike="noStrike" baseline="0">
            <a:solidFill>
              <a:srgbClr val="000000"/>
            </a:solidFill>
            <a:latin typeface="Calibri"/>
          </a:endParaRPr>
        </a:p>
        <a:p>
          <a:pPr algn="l" rtl="0">
            <a:defRPr sz="1000"/>
          </a:pPr>
          <a:endParaRPr lang="es-AR" sz="1600" b="1" i="0" u="none" strike="noStrike" baseline="0">
            <a:solidFill>
              <a:srgbClr val="000000"/>
            </a:solidFill>
            <a:latin typeface="Calibri"/>
          </a:endParaRPr>
        </a:p>
      </xdr:txBody>
    </xdr:sp>
    <xdr:clientData/>
  </xdr:twoCellAnchor>
  <xdr:twoCellAnchor editAs="oneCell">
    <xdr:from>
      <xdr:col>9</xdr:col>
      <xdr:colOff>603250</xdr:colOff>
      <xdr:row>38</xdr:row>
      <xdr:rowOff>130854</xdr:rowOff>
    </xdr:from>
    <xdr:to>
      <xdr:col>12</xdr:col>
      <xdr:colOff>709083</xdr:colOff>
      <xdr:row>48</xdr:row>
      <xdr:rowOff>87078</xdr:rowOff>
    </xdr:to>
    <xdr:pic>
      <xdr:nvPicPr>
        <xdr:cNvPr id="11" name="Picture 10">
          <a:extLst>
            <a:ext uri="{FF2B5EF4-FFF2-40B4-BE49-F238E27FC236}">
              <a16:creationId xmlns:a16="http://schemas.microsoft.com/office/drawing/2014/main" id="{8513A2EB-08B9-424F-8883-2E73CEFD514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61250" y="6163354"/>
          <a:ext cx="2391833" cy="17765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266700</xdr:colOff>
      <xdr:row>17</xdr:row>
      <xdr:rowOff>95250</xdr:rowOff>
    </xdr:from>
    <xdr:to>
      <xdr:col>9</xdr:col>
      <xdr:colOff>566609</xdr:colOff>
      <xdr:row>19</xdr:row>
      <xdr:rowOff>26672</xdr:rowOff>
    </xdr:to>
    <xdr:sp macro="" textlink="">
      <xdr:nvSpPr>
        <xdr:cNvPr id="6" name="AutoShape 8">
          <a:hlinkClick xmlns:r="http://schemas.openxmlformats.org/officeDocument/2006/relationships" r:id="rId1"/>
          <a:extLst>
            <a:ext uri="{FF2B5EF4-FFF2-40B4-BE49-F238E27FC236}">
              <a16:creationId xmlns:a16="http://schemas.microsoft.com/office/drawing/2014/main" id="{00000000-0008-0000-0A00-000006000000}"/>
            </a:ext>
          </a:extLst>
        </xdr:cNvPr>
        <xdr:cNvSpPr>
          <a:spLocks noChangeArrowheads="1"/>
        </xdr:cNvSpPr>
      </xdr:nvSpPr>
      <xdr:spPr bwMode="auto">
        <a:xfrm>
          <a:off x="7134225" y="3200400"/>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4076700</xdr:colOff>
      <xdr:row>113</xdr:row>
      <xdr:rowOff>0</xdr:rowOff>
    </xdr:from>
    <xdr:to>
      <xdr:col>3</xdr:col>
      <xdr:colOff>14159</xdr:colOff>
      <xdr:row>114</xdr:row>
      <xdr:rowOff>93347</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B00-000003000000}"/>
            </a:ext>
          </a:extLst>
        </xdr:cNvPr>
        <xdr:cNvSpPr>
          <a:spLocks noChangeArrowheads="1"/>
        </xdr:cNvSpPr>
      </xdr:nvSpPr>
      <xdr:spPr bwMode="auto">
        <a:xfrm>
          <a:off x="4438650" y="9353550"/>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66675</xdr:colOff>
      <xdr:row>16</xdr:row>
      <xdr:rowOff>76200</xdr:rowOff>
    </xdr:from>
    <xdr:to>
      <xdr:col>4</xdr:col>
      <xdr:colOff>642809</xdr:colOff>
      <xdr:row>17</xdr:row>
      <xdr:rowOff>131447</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C00-000003000000}"/>
            </a:ext>
          </a:extLst>
        </xdr:cNvPr>
        <xdr:cNvSpPr>
          <a:spLocks noChangeArrowheads="1"/>
        </xdr:cNvSpPr>
      </xdr:nvSpPr>
      <xdr:spPr bwMode="auto">
        <a:xfrm>
          <a:off x="3771900" y="3352800"/>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390525</xdr:colOff>
      <xdr:row>20</xdr:row>
      <xdr:rowOff>95250</xdr:rowOff>
    </xdr:from>
    <xdr:to>
      <xdr:col>5</xdr:col>
      <xdr:colOff>985709</xdr:colOff>
      <xdr:row>22</xdr:row>
      <xdr:rowOff>36197</xdr:rowOff>
    </xdr:to>
    <xdr:sp macro="" textlink="">
      <xdr:nvSpPr>
        <xdr:cNvPr id="2" name="AutoShape 8">
          <a:hlinkClick xmlns:r="http://schemas.openxmlformats.org/officeDocument/2006/relationships" r:id="rId1"/>
          <a:extLst>
            <a:ext uri="{FF2B5EF4-FFF2-40B4-BE49-F238E27FC236}">
              <a16:creationId xmlns:a16="http://schemas.microsoft.com/office/drawing/2014/main" id="{BF57628B-2DAE-4814-8792-A48B202E9D89}"/>
            </a:ext>
          </a:extLst>
        </xdr:cNvPr>
        <xdr:cNvSpPr>
          <a:spLocks noChangeArrowheads="1"/>
        </xdr:cNvSpPr>
      </xdr:nvSpPr>
      <xdr:spPr bwMode="auto">
        <a:xfrm>
          <a:off x="5191125" y="4600575"/>
          <a:ext cx="1576259" cy="264797"/>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twoCellAnchor>
    <xdr:from>
      <xdr:col>6</xdr:col>
      <xdr:colOff>714375</xdr:colOff>
      <xdr:row>2</xdr:row>
      <xdr:rowOff>119062</xdr:rowOff>
    </xdr:from>
    <xdr:to>
      <xdr:col>12</xdr:col>
      <xdr:colOff>714375</xdr:colOff>
      <xdr:row>18</xdr:row>
      <xdr:rowOff>52387</xdr:rowOff>
    </xdr:to>
    <xdr:graphicFrame macro="">
      <xdr:nvGraphicFramePr>
        <xdr:cNvPr id="3" name="Chart 2">
          <a:extLst>
            <a:ext uri="{FF2B5EF4-FFF2-40B4-BE49-F238E27FC236}">
              <a16:creationId xmlns:a16="http://schemas.microsoft.com/office/drawing/2014/main" id="{F6F73D7B-4821-497D-809A-8226185DA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756709</xdr:colOff>
      <xdr:row>38</xdr:row>
      <xdr:rowOff>1058</xdr:rowOff>
    </xdr:from>
    <xdr:to>
      <xdr:col>8</xdr:col>
      <xdr:colOff>117877</xdr:colOff>
      <xdr:row>39</xdr:row>
      <xdr:rowOff>94405</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1000-000003000000}"/>
            </a:ext>
          </a:extLst>
        </xdr:cNvPr>
        <xdr:cNvSpPr>
          <a:spLocks noChangeArrowheads="1"/>
        </xdr:cNvSpPr>
      </xdr:nvSpPr>
      <xdr:spPr bwMode="auto">
        <a:xfrm>
          <a:off x="5643034" y="6554258"/>
          <a:ext cx="1999593"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twoCellAnchor>
    <xdr:from>
      <xdr:col>9</xdr:col>
      <xdr:colOff>176741</xdr:colOff>
      <xdr:row>3</xdr:row>
      <xdr:rowOff>261938</xdr:rowOff>
    </xdr:from>
    <xdr:to>
      <xdr:col>14</xdr:col>
      <xdr:colOff>639233</xdr:colOff>
      <xdr:row>21</xdr:row>
      <xdr:rowOff>69321</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685800</xdr:colOff>
      <xdr:row>27</xdr:row>
      <xdr:rowOff>114300</xdr:rowOff>
    </xdr:from>
    <xdr:to>
      <xdr:col>5</xdr:col>
      <xdr:colOff>33209</xdr:colOff>
      <xdr:row>29</xdr:row>
      <xdr:rowOff>45722</xdr:rowOff>
    </xdr:to>
    <xdr:sp macro="" textlink="">
      <xdr:nvSpPr>
        <xdr:cNvPr id="2" name="AutoShape 8">
          <a:hlinkClick xmlns:r="http://schemas.openxmlformats.org/officeDocument/2006/relationships" r:id="rId1"/>
          <a:extLst>
            <a:ext uri="{FF2B5EF4-FFF2-40B4-BE49-F238E27FC236}">
              <a16:creationId xmlns:a16="http://schemas.microsoft.com/office/drawing/2014/main" id="{7F742C03-7232-4C44-889C-2F9818EF3C56}"/>
            </a:ext>
          </a:extLst>
        </xdr:cNvPr>
        <xdr:cNvSpPr>
          <a:spLocks noChangeArrowheads="1"/>
        </xdr:cNvSpPr>
      </xdr:nvSpPr>
      <xdr:spPr bwMode="auto">
        <a:xfrm>
          <a:off x="2971800" y="4324350"/>
          <a:ext cx="87140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1514475</xdr:colOff>
      <xdr:row>72</xdr:row>
      <xdr:rowOff>123825</xdr:rowOff>
    </xdr:from>
    <xdr:to>
      <xdr:col>6</xdr:col>
      <xdr:colOff>19051</xdr:colOff>
      <xdr:row>74</xdr:row>
      <xdr:rowOff>55247</xdr:rowOff>
    </xdr:to>
    <xdr:sp macro="" textlink="">
      <xdr:nvSpPr>
        <xdr:cNvPr id="2" name="AutoShape 8">
          <a:hlinkClick xmlns:r="http://schemas.openxmlformats.org/officeDocument/2006/relationships" r:id="rId1"/>
          <a:extLst>
            <a:ext uri="{FF2B5EF4-FFF2-40B4-BE49-F238E27FC236}">
              <a16:creationId xmlns:a16="http://schemas.microsoft.com/office/drawing/2014/main" id="{352EBC71-EE90-4518-84F5-89059AA22582}"/>
            </a:ext>
          </a:extLst>
        </xdr:cNvPr>
        <xdr:cNvSpPr>
          <a:spLocks noChangeArrowheads="1"/>
        </xdr:cNvSpPr>
      </xdr:nvSpPr>
      <xdr:spPr bwMode="auto">
        <a:xfrm>
          <a:off x="7915275" y="12725400"/>
          <a:ext cx="1800226"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428625</xdr:colOff>
      <xdr:row>35</xdr:row>
      <xdr:rowOff>209550</xdr:rowOff>
    </xdr:from>
    <xdr:to>
      <xdr:col>6</xdr:col>
      <xdr:colOff>966659</xdr:colOff>
      <xdr:row>36</xdr:row>
      <xdr:rowOff>188597</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1300-000003000000}"/>
            </a:ext>
          </a:extLst>
        </xdr:cNvPr>
        <xdr:cNvSpPr>
          <a:spLocks noChangeArrowheads="1"/>
        </xdr:cNvSpPr>
      </xdr:nvSpPr>
      <xdr:spPr bwMode="auto">
        <a:xfrm>
          <a:off x="7696200" y="6905625"/>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762000</xdr:colOff>
      <xdr:row>29</xdr:row>
      <xdr:rowOff>85725</xdr:rowOff>
    </xdr:from>
    <xdr:to>
      <xdr:col>7</xdr:col>
      <xdr:colOff>52259</xdr:colOff>
      <xdr:row>31</xdr:row>
      <xdr:rowOff>45722</xdr:rowOff>
    </xdr:to>
    <xdr:sp macro="" textlink="">
      <xdr:nvSpPr>
        <xdr:cNvPr id="4" name="AutoShape 8">
          <a:hlinkClick xmlns:r="http://schemas.openxmlformats.org/officeDocument/2006/relationships" r:id="rId1"/>
          <a:extLst>
            <a:ext uri="{FF2B5EF4-FFF2-40B4-BE49-F238E27FC236}">
              <a16:creationId xmlns:a16="http://schemas.microsoft.com/office/drawing/2014/main" id="{00000000-0008-0000-1400-000004000000}"/>
            </a:ext>
          </a:extLst>
        </xdr:cNvPr>
        <xdr:cNvSpPr>
          <a:spLocks noChangeArrowheads="1"/>
        </xdr:cNvSpPr>
      </xdr:nvSpPr>
      <xdr:spPr bwMode="auto">
        <a:xfrm>
          <a:off x="6629400" y="5629275"/>
          <a:ext cx="1576259" cy="283847"/>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332740</xdr:colOff>
      <xdr:row>1</xdr:row>
      <xdr:rowOff>43296</xdr:rowOff>
    </xdr:from>
    <xdr:to>
      <xdr:col>11</xdr:col>
      <xdr:colOff>649450</xdr:colOff>
      <xdr:row>5</xdr:row>
      <xdr:rowOff>147205</xdr:rowOff>
    </xdr:to>
    <xdr:sp macro="" textlink="">
      <xdr:nvSpPr>
        <xdr:cNvPr id="1078" name="Text Box 54">
          <a:extLst>
            <a:ext uri="{FF2B5EF4-FFF2-40B4-BE49-F238E27FC236}">
              <a16:creationId xmlns:a16="http://schemas.microsoft.com/office/drawing/2014/main" id="{00000000-0008-0000-0100-000036040000}"/>
            </a:ext>
          </a:extLst>
        </xdr:cNvPr>
        <xdr:cNvSpPr txBox="1">
          <a:spLocks noChangeArrowheads="1"/>
        </xdr:cNvSpPr>
      </xdr:nvSpPr>
      <xdr:spPr bwMode="auto">
        <a:xfrm>
          <a:off x="1761490" y="207819"/>
          <a:ext cx="5694005" cy="7620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36576" tIns="27432" rIns="36576" bIns="0" anchor="ctr" upright="1"/>
        <a:lstStyle/>
        <a:p>
          <a:pPr algn="ctr" rtl="0">
            <a:defRPr sz="1000"/>
          </a:pPr>
          <a:r>
            <a:rPr lang="en-AU" sz="1800" b="1" i="0" strike="noStrike">
              <a:solidFill>
                <a:srgbClr val="000000"/>
              </a:solidFill>
              <a:latin typeface="Arial"/>
              <a:cs typeface="Arial"/>
            </a:rPr>
            <a:t>Main Menu</a:t>
          </a:r>
        </a:p>
      </xdr:txBody>
    </xdr:sp>
    <xdr:clientData/>
  </xdr:twoCellAnchor>
  <xdr:twoCellAnchor>
    <xdr:from>
      <xdr:col>8</xdr:col>
      <xdr:colOff>166712</xdr:colOff>
      <xdr:row>6</xdr:row>
      <xdr:rowOff>96786</xdr:rowOff>
    </xdr:from>
    <xdr:to>
      <xdr:col>11</xdr:col>
      <xdr:colOff>575966</xdr:colOff>
      <xdr:row>7</xdr:row>
      <xdr:rowOff>114132</xdr:rowOff>
    </xdr:to>
    <xdr:sp macro="" textlink="">
      <xdr:nvSpPr>
        <xdr:cNvPr id="1029" name="Text Box 5">
          <a:hlinkClick xmlns:r="http://schemas.openxmlformats.org/officeDocument/2006/relationships" r:id="rId1"/>
          <a:extLst>
            <a:ext uri="{FF2B5EF4-FFF2-40B4-BE49-F238E27FC236}">
              <a16:creationId xmlns:a16="http://schemas.microsoft.com/office/drawing/2014/main" id="{00000000-0008-0000-0100-000005040000}"/>
            </a:ext>
          </a:extLst>
        </xdr:cNvPr>
        <xdr:cNvSpPr txBox="1">
          <a:spLocks noChangeArrowheads="1"/>
        </xdr:cNvSpPr>
      </xdr:nvSpPr>
      <xdr:spPr bwMode="auto">
        <a:xfrm>
          <a:off x="4686757" y="1083922"/>
          <a:ext cx="2695254" cy="181869"/>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10 - Environmental conditions</a:t>
          </a:r>
        </a:p>
      </xdr:txBody>
    </xdr:sp>
    <xdr:clientData/>
  </xdr:twoCellAnchor>
  <xdr:twoCellAnchor>
    <xdr:from>
      <xdr:col>3</xdr:col>
      <xdr:colOff>401724</xdr:colOff>
      <xdr:row>19</xdr:row>
      <xdr:rowOff>142911</xdr:rowOff>
    </xdr:from>
    <xdr:to>
      <xdr:col>7</xdr:col>
      <xdr:colOff>741706</xdr:colOff>
      <xdr:row>20</xdr:row>
      <xdr:rowOff>160255</xdr:rowOff>
    </xdr:to>
    <xdr:sp macro="" textlink="">
      <xdr:nvSpPr>
        <xdr:cNvPr id="1030" name="Text Box 6">
          <a:hlinkClick xmlns:r="http://schemas.openxmlformats.org/officeDocument/2006/relationships" r:id="rId2"/>
          <a:extLst>
            <a:ext uri="{FF2B5EF4-FFF2-40B4-BE49-F238E27FC236}">
              <a16:creationId xmlns:a16="http://schemas.microsoft.com/office/drawing/2014/main" id="{00000000-0008-0000-0100-000006040000}"/>
            </a:ext>
          </a:extLst>
        </xdr:cNvPr>
        <xdr:cNvSpPr txBox="1">
          <a:spLocks noChangeArrowheads="1"/>
        </xdr:cNvSpPr>
      </xdr:nvSpPr>
      <xdr:spPr bwMode="auto">
        <a:xfrm>
          <a:off x="1830474" y="3268843"/>
          <a:ext cx="2669277" cy="181867"/>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lnSpc>
              <a:spcPts val="700"/>
            </a:lnSpc>
            <a:defRPr sz="1000"/>
          </a:pPr>
          <a:r>
            <a:rPr lang="en-AU" sz="800" b="1" i="0" strike="noStrike">
              <a:solidFill>
                <a:srgbClr val="000000"/>
              </a:solidFill>
              <a:latin typeface="Arial"/>
              <a:cs typeface="Arial"/>
            </a:rPr>
            <a:t>08 - Storage of diet ingredients</a:t>
          </a:r>
        </a:p>
      </xdr:txBody>
    </xdr:sp>
    <xdr:clientData/>
  </xdr:twoCellAnchor>
  <xdr:twoCellAnchor>
    <xdr:from>
      <xdr:col>3</xdr:col>
      <xdr:colOff>410383</xdr:colOff>
      <xdr:row>10</xdr:row>
      <xdr:rowOff>72504</xdr:rowOff>
    </xdr:from>
    <xdr:to>
      <xdr:col>7</xdr:col>
      <xdr:colOff>750365</xdr:colOff>
      <xdr:row>11</xdr:row>
      <xdr:rowOff>89848</xdr:rowOff>
    </xdr:to>
    <xdr:sp macro="" textlink="">
      <xdr:nvSpPr>
        <xdr:cNvPr id="1031" name="Text Box 7">
          <a:hlinkClick xmlns:r="http://schemas.openxmlformats.org/officeDocument/2006/relationships" r:id="rId3"/>
          <a:extLst>
            <a:ext uri="{FF2B5EF4-FFF2-40B4-BE49-F238E27FC236}">
              <a16:creationId xmlns:a16="http://schemas.microsoft.com/office/drawing/2014/main" id="{00000000-0008-0000-0100-000007040000}"/>
            </a:ext>
          </a:extLst>
        </xdr:cNvPr>
        <xdr:cNvSpPr txBox="1">
          <a:spLocks noChangeArrowheads="1"/>
        </xdr:cNvSpPr>
      </xdr:nvSpPr>
      <xdr:spPr bwMode="auto">
        <a:xfrm>
          <a:off x="1839133" y="1717731"/>
          <a:ext cx="2669277" cy="181867"/>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03 - Production parameters</a:t>
          </a:r>
        </a:p>
      </xdr:txBody>
    </xdr:sp>
    <xdr:clientData/>
  </xdr:twoCellAnchor>
  <xdr:twoCellAnchor>
    <xdr:from>
      <xdr:col>3</xdr:col>
      <xdr:colOff>410383</xdr:colOff>
      <xdr:row>8</xdr:row>
      <xdr:rowOff>93385</xdr:rowOff>
    </xdr:from>
    <xdr:to>
      <xdr:col>7</xdr:col>
      <xdr:colOff>750365</xdr:colOff>
      <xdr:row>9</xdr:row>
      <xdr:rowOff>109864</xdr:rowOff>
    </xdr:to>
    <xdr:sp macro="" textlink="">
      <xdr:nvSpPr>
        <xdr:cNvPr id="1033" name="Text Box 9">
          <a:hlinkClick xmlns:r="http://schemas.openxmlformats.org/officeDocument/2006/relationships" r:id="rId4"/>
          <a:extLst>
            <a:ext uri="{FF2B5EF4-FFF2-40B4-BE49-F238E27FC236}">
              <a16:creationId xmlns:a16="http://schemas.microsoft.com/office/drawing/2014/main" id="{00000000-0008-0000-0100-000009040000}"/>
            </a:ext>
          </a:extLst>
        </xdr:cNvPr>
        <xdr:cNvSpPr txBox="1">
          <a:spLocks noChangeArrowheads="1"/>
        </xdr:cNvSpPr>
      </xdr:nvSpPr>
      <xdr:spPr bwMode="auto">
        <a:xfrm>
          <a:off x="1839133" y="1409567"/>
          <a:ext cx="2669277" cy="181002"/>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02 - </a:t>
          </a:r>
          <a:r>
            <a:rPr lang="en-AU" sz="1000" b="1" i="0">
              <a:effectLst/>
              <a:latin typeface="+mn-lt"/>
              <a:ea typeface="+mn-ea"/>
              <a:cs typeface="+mn-cs"/>
            </a:rPr>
            <a:t>Mass rearing process </a:t>
          </a:r>
          <a:endParaRPr lang="en-AU" sz="800" b="1" i="0" strike="noStrike">
            <a:solidFill>
              <a:srgbClr val="000000"/>
            </a:solidFill>
            <a:latin typeface="Arial"/>
            <a:cs typeface="Arial"/>
          </a:endParaRPr>
        </a:p>
      </xdr:txBody>
    </xdr:sp>
    <xdr:clientData/>
  </xdr:twoCellAnchor>
  <xdr:twoCellAnchor>
    <xdr:from>
      <xdr:col>3</xdr:col>
      <xdr:colOff>401724</xdr:colOff>
      <xdr:row>21</xdr:row>
      <xdr:rowOff>157535</xdr:rowOff>
    </xdr:from>
    <xdr:to>
      <xdr:col>7</xdr:col>
      <xdr:colOff>741706</xdr:colOff>
      <xdr:row>23</xdr:row>
      <xdr:rowOff>10356</xdr:rowOff>
    </xdr:to>
    <xdr:sp macro="" textlink="">
      <xdr:nvSpPr>
        <xdr:cNvPr id="1036" name="Text Box 12">
          <a:hlinkClick xmlns:r="http://schemas.openxmlformats.org/officeDocument/2006/relationships" r:id="rId5"/>
          <a:extLst>
            <a:ext uri="{FF2B5EF4-FFF2-40B4-BE49-F238E27FC236}">
              <a16:creationId xmlns:a16="http://schemas.microsoft.com/office/drawing/2014/main" id="{00000000-0008-0000-0100-00000C040000}"/>
            </a:ext>
          </a:extLst>
        </xdr:cNvPr>
        <xdr:cNvSpPr txBox="1">
          <a:spLocks noChangeArrowheads="1"/>
        </xdr:cNvSpPr>
      </xdr:nvSpPr>
      <xdr:spPr bwMode="auto">
        <a:xfrm>
          <a:off x="1830474" y="3612512"/>
          <a:ext cx="2669277" cy="181867"/>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09 - Rearing equipment</a:t>
          </a:r>
        </a:p>
      </xdr:txBody>
    </xdr:sp>
    <xdr:clientData/>
  </xdr:twoCellAnchor>
  <xdr:twoCellAnchor>
    <xdr:from>
      <xdr:col>3</xdr:col>
      <xdr:colOff>410383</xdr:colOff>
      <xdr:row>16</xdr:row>
      <xdr:rowOff>12456</xdr:rowOff>
    </xdr:from>
    <xdr:to>
      <xdr:col>7</xdr:col>
      <xdr:colOff>748660</xdr:colOff>
      <xdr:row>17</xdr:row>
      <xdr:rowOff>29803</xdr:rowOff>
    </xdr:to>
    <xdr:sp macro="" textlink="">
      <xdr:nvSpPr>
        <xdr:cNvPr id="1038" name="Text Box 14">
          <a:hlinkClick xmlns:r="http://schemas.openxmlformats.org/officeDocument/2006/relationships" r:id="rId6"/>
          <a:extLst>
            <a:ext uri="{FF2B5EF4-FFF2-40B4-BE49-F238E27FC236}">
              <a16:creationId xmlns:a16="http://schemas.microsoft.com/office/drawing/2014/main" id="{00000000-0008-0000-0100-00000E040000}"/>
            </a:ext>
          </a:extLst>
        </xdr:cNvPr>
        <xdr:cNvSpPr txBox="1">
          <a:spLocks noChangeArrowheads="1"/>
        </xdr:cNvSpPr>
      </xdr:nvSpPr>
      <xdr:spPr bwMode="auto">
        <a:xfrm>
          <a:off x="1839133" y="2644820"/>
          <a:ext cx="2667572" cy="181869"/>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06 - Diet formulation</a:t>
          </a:r>
        </a:p>
      </xdr:txBody>
    </xdr:sp>
    <xdr:clientData/>
  </xdr:twoCellAnchor>
  <xdr:twoCellAnchor>
    <xdr:from>
      <xdr:col>3</xdr:col>
      <xdr:colOff>410383</xdr:colOff>
      <xdr:row>12</xdr:row>
      <xdr:rowOff>52488</xdr:rowOff>
    </xdr:from>
    <xdr:to>
      <xdr:col>7</xdr:col>
      <xdr:colOff>750365</xdr:colOff>
      <xdr:row>13</xdr:row>
      <xdr:rowOff>69833</xdr:rowOff>
    </xdr:to>
    <xdr:sp macro="" textlink="">
      <xdr:nvSpPr>
        <xdr:cNvPr id="1039" name="Text Box 15">
          <a:hlinkClick xmlns:r="http://schemas.openxmlformats.org/officeDocument/2006/relationships" r:id="rId7"/>
          <a:extLst>
            <a:ext uri="{FF2B5EF4-FFF2-40B4-BE49-F238E27FC236}">
              <a16:creationId xmlns:a16="http://schemas.microsoft.com/office/drawing/2014/main" id="{00000000-0008-0000-0100-00000F040000}"/>
            </a:ext>
          </a:extLst>
        </xdr:cNvPr>
        <xdr:cNvSpPr txBox="1">
          <a:spLocks noChangeArrowheads="1"/>
        </xdr:cNvSpPr>
      </xdr:nvSpPr>
      <xdr:spPr bwMode="auto">
        <a:xfrm>
          <a:off x="1839133" y="2026761"/>
          <a:ext cx="2669277" cy="181867"/>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04 - Release facility</a:t>
          </a:r>
        </a:p>
      </xdr:txBody>
    </xdr:sp>
    <xdr:clientData/>
  </xdr:twoCellAnchor>
  <xdr:twoCellAnchor>
    <xdr:from>
      <xdr:col>3</xdr:col>
      <xdr:colOff>410383</xdr:colOff>
      <xdr:row>14</xdr:row>
      <xdr:rowOff>32472</xdr:rowOff>
    </xdr:from>
    <xdr:to>
      <xdr:col>7</xdr:col>
      <xdr:colOff>748660</xdr:colOff>
      <xdr:row>15</xdr:row>
      <xdr:rowOff>49817</xdr:rowOff>
    </xdr:to>
    <xdr:sp macro="" textlink="">
      <xdr:nvSpPr>
        <xdr:cNvPr id="1040" name="Text Box 16">
          <a:hlinkClick xmlns:r="http://schemas.openxmlformats.org/officeDocument/2006/relationships" r:id="rId8"/>
          <a:extLst>
            <a:ext uri="{FF2B5EF4-FFF2-40B4-BE49-F238E27FC236}">
              <a16:creationId xmlns:a16="http://schemas.microsoft.com/office/drawing/2014/main" id="{00000000-0008-0000-0100-000010040000}"/>
            </a:ext>
          </a:extLst>
        </xdr:cNvPr>
        <xdr:cNvSpPr txBox="1">
          <a:spLocks noChangeArrowheads="1"/>
        </xdr:cNvSpPr>
      </xdr:nvSpPr>
      <xdr:spPr bwMode="auto">
        <a:xfrm>
          <a:off x="1839133" y="2335790"/>
          <a:ext cx="2667572" cy="181868"/>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05 - Mass rearing facility</a:t>
          </a:r>
        </a:p>
      </xdr:txBody>
    </xdr:sp>
    <xdr:clientData/>
  </xdr:twoCellAnchor>
  <xdr:twoCellAnchor>
    <xdr:from>
      <xdr:col>8</xdr:col>
      <xdr:colOff>166712</xdr:colOff>
      <xdr:row>16</xdr:row>
      <xdr:rowOff>18319</xdr:rowOff>
    </xdr:from>
    <xdr:to>
      <xdr:col>11</xdr:col>
      <xdr:colOff>575966</xdr:colOff>
      <xdr:row>17</xdr:row>
      <xdr:rowOff>35665</xdr:rowOff>
    </xdr:to>
    <xdr:sp macro="" textlink="">
      <xdr:nvSpPr>
        <xdr:cNvPr id="98018" name="Text Box 18">
          <a:hlinkClick xmlns:r="http://schemas.openxmlformats.org/officeDocument/2006/relationships" r:id="rId9"/>
          <a:extLst>
            <a:ext uri="{FF2B5EF4-FFF2-40B4-BE49-F238E27FC236}">
              <a16:creationId xmlns:a16="http://schemas.microsoft.com/office/drawing/2014/main" id="{00000000-0008-0000-0100-0000E27E0100}"/>
            </a:ext>
          </a:extLst>
        </xdr:cNvPr>
        <xdr:cNvSpPr txBox="1">
          <a:spLocks noChangeArrowheads="1"/>
        </xdr:cNvSpPr>
      </xdr:nvSpPr>
      <xdr:spPr bwMode="auto">
        <a:xfrm>
          <a:off x="4686757" y="2650683"/>
          <a:ext cx="2695254" cy="181868"/>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a:lstStyle/>
        <a:p>
          <a:pPr algn="l" rtl="0">
            <a:defRPr sz="1000"/>
          </a:pPr>
          <a:r>
            <a:rPr lang="en-GB" sz="800" b="1" i="0" u="none" strike="noStrike" baseline="0">
              <a:solidFill>
                <a:srgbClr val="000000"/>
              </a:solidFill>
              <a:latin typeface="Arial"/>
              <a:cs typeface="Arial"/>
            </a:rPr>
            <a:t>15 - Equipment budget</a:t>
          </a:r>
          <a:endParaRPr lang="en-GB" sz="800"/>
        </a:p>
      </xdr:txBody>
    </xdr:sp>
    <xdr:clientData/>
  </xdr:twoCellAnchor>
  <xdr:twoCellAnchor>
    <xdr:from>
      <xdr:col>3</xdr:col>
      <xdr:colOff>410383</xdr:colOff>
      <xdr:row>17</xdr:row>
      <xdr:rowOff>156965</xdr:rowOff>
    </xdr:from>
    <xdr:to>
      <xdr:col>7</xdr:col>
      <xdr:colOff>750365</xdr:colOff>
      <xdr:row>19</xdr:row>
      <xdr:rowOff>9788</xdr:rowOff>
    </xdr:to>
    <xdr:sp macro="" textlink="">
      <xdr:nvSpPr>
        <xdr:cNvPr id="1048" name="Text Box 24">
          <a:hlinkClick xmlns:r="http://schemas.openxmlformats.org/officeDocument/2006/relationships" r:id="rId10"/>
          <a:extLst>
            <a:ext uri="{FF2B5EF4-FFF2-40B4-BE49-F238E27FC236}">
              <a16:creationId xmlns:a16="http://schemas.microsoft.com/office/drawing/2014/main" id="{00000000-0008-0000-0100-000018040000}"/>
            </a:ext>
          </a:extLst>
        </xdr:cNvPr>
        <xdr:cNvSpPr txBox="1">
          <a:spLocks noChangeArrowheads="1"/>
        </xdr:cNvSpPr>
      </xdr:nvSpPr>
      <xdr:spPr bwMode="auto">
        <a:xfrm>
          <a:off x="1839133" y="2953851"/>
          <a:ext cx="2669277" cy="181869"/>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07- Diet requirements</a:t>
          </a:r>
        </a:p>
      </xdr:txBody>
    </xdr:sp>
    <xdr:clientData/>
  </xdr:twoCellAnchor>
  <xdr:twoCellAnchor>
    <xdr:from>
      <xdr:col>8</xdr:col>
      <xdr:colOff>166712</xdr:colOff>
      <xdr:row>8</xdr:row>
      <xdr:rowOff>81093</xdr:rowOff>
    </xdr:from>
    <xdr:to>
      <xdr:col>11</xdr:col>
      <xdr:colOff>575966</xdr:colOff>
      <xdr:row>9</xdr:row>
      <xdr:rowOff>98436</xdr:rowOff>
    </xdr:to>
    <xdr:sp macro="" textlink="">
      <xdr:nvSpPr>
        <xdr:cNvPr id="1055" name="Text Box 31">
          <a:hlinkClick xmlns:r="http://schemas.openxmlformats.org/officeDocument/2006/relationships" r:id="rId11"/>
          <a:extLst>
            <a:ext uri="{FF2B5EF4-FFF2-40B4-BE49-F238E27FC236}">
              <a16:creationId xmlns:a16="http://schemas.microsoft.com/office/drawing/2014/main" id="{00000000-0008-0000-0100-00001F040000}"/>
            </a:ext>
          </a:extLst>
        </xdr:cNvPr>
        <xdr:cNvSpPr txBox="1">
          <a:spLocks noChangeArrowheads="1"/>
        </xdr:cNvSpPr>
      </xdr:nvSpPr>
      <xdr:spPr bwMode="auto">
        <a:xfrm>
          <a:off x="4686757" y="1397275"/>
          <a:ext cx="2695254" cy="181866"/>
        </a:xfrm>
        <a:prstGeom prst="rect">
          <a:avLst/>
        </a:prstGeom>
        <a:solidFill>
          <a:schemeClr val="accent6">
            <a:lumMod val="60000"/>
            <a:lumOff val="40000"/>
          </a:schemeClr>
        </a:solidFill>
        <a:ln w="9525">
          <a:solidFill>
            <a:srgbClr val="000000"/>
          </a:solidFill>
          <a:miter lim="800000"/>
          <a:headEnd/>
          <a:tailEnd/>
        </a:ln>
      </xdr:spPr>
      <xdr:txBody>
        <a:bodyPr vertOverflow="clip" wrap="non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AU" sz="800" b="1" i="0" strike="noStrike" baseline="0">
              <a:solidFill>
                <a:srgbClr val="000000"/>
              </a:solidFill>
              <a:latin typeface="Arial"/>
              <a:cs typeface="Arial"/>
            </a:rPr>
            <a:t>11 - Water </a:t>
          </a:r>
          <a:r>
            <a:rPr lang="en-US" sz="800" b="1" i="0" strike="noStrike" baseline="0">
              <a:solidFill>
                <a:srgbClr val="000000"/>
              </a:solidFill>
              <a:latin typeface="Arial"/>
              <a:cs typeface="Arial"/>
            </a:rPr>
            <a:t>requirements</a:t>
          </a:r>
          <a:endParaRPr lang="en-GB" sz="800">
            <a:solidFill>
              <a:srgbClr val="FF0000"/>
            </a:solidFill>
            <a:effectLst/>
          </a:endParaRPr>
        </a:p>
      </xdr:txBody>
    </xdr:sp>
    <xdr:clientData/>
  </xdr:twoCellAnchor>
  <xdr:twoCellAnchor>
    <xdr:from>
      <xdr:col>8</xdr:col>
      <xdr:colOff>166712</xdr:colOff>
      <xdr:row>14</xdr:row>
      <xdr:rowOff>34011</xdr:rowOff>
    </xdr:from>
    <xdr:to>
      <xdr:col>11</xdr:col>
      <xdr:colOff>566441</xdr:colOff>
      <xdr:row>15</xdr:row>
      <xdr:rowOff>51358</xdr:rowOff>
    </xdr:to>
    <xdr:sp macro="" textlink="">
      <xdr:nvSpPr>
        <xdr:cNvPr id="1056" name="Text Box 32">
          <a:hlinkClick xmlns:r="http://schemas.openxmlformats.org/officeDocument/2006/relationships" r:id="rId12"/>
          <a:extLst>
            <a:ext uri="{FF2B5EF4-FFF2-40B4-BE49-F238E27FC236}">
              <a16:creationId xmlns:a16="http://schemas.microsoft.com/office/drawing/2014/main" id="{00000000-0008-0000-0100-000020040000}"/>
            </a:ext>
          </a:extLst>
        </xdr:cNvPr>
        <xdr:cNvSpPr txBox="1">
          <a:spLocks noChangeArrowheads="1"/>
        </xdr:cNvSpPr>
      </xdr:nvSpPr>
      <xdr:spPr bwMode="auto">
        <a:xfrm>
          <a:off x="4686757" y="2337329"/>
          <a:ext cx="2685729" cy="18187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14 - Workload</a:t>
          </a:r>
        </a:p>
      </xdr:txBody>
    </xdr:sp>
    <xdr:clientData/>
  </xdr:twoCellAnchor>
  <xdr:twoCellAnchor>
    <xdr:from>
      <xdr:col>8</xdr:col>
      <xdr:colOff>166712</xdr:colOff>
      <xdr:row>10</xdr:row>
      <xdr:rowOff>65398</xdr:rowOff>
    </xdr:from>
    <xdr:to>
      <xdr:col>11</xdr:col>
      <xdr:colOff>575966</xdr:colOff>
      <xdr:row>11</xdr:row>
      <xdr:rowOff>82744</xdr:rowOff>
    </xdr:to>
    <xdr:sp macro="" textlink="">
      <xdr:nvSpPr>
        <xdr:cNvPr id="1065" name="Text Box 41">
          <a:hlinkClick xmlns:r="http://schemas.openxmlformats.org/officeDocument/2006/relationships" r:id="rId13"/>
          <a:extLst>
            <a:ext uri="{FF2B5EF4-FFF2-40B4-BE49-F238E27FC236}">
              <a16:creationId xmlns:a16="http://schemas.microsoft.com/office/drawing/2014/main" id="{00000000-0008-0000-0100-000029040000}"/>
            </a:ext>
          </a:extLst>
        </xdr:cNvPr>
        <xdr:cNvSpPr txBox="1">
          <a:spLocks noChangeArrowheads="1"/>
        </xdr:cNvSpPr>
      </xdr:nvSpPr>
      <xdr:spPr bwMode="auto">
        <a:xfrm>
          <a:off x="4686757" y="1710625"/>
          <a:ext cx="2695254" cy="181869"/>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12 - Floor area calculations</a:t>
          </a:r>
        </a:p>
      </xdr:txBody>
    </xdr:sp>
    <xdr:clientData/>
  </xdr:twoCellAnchor>
  <xdr:twoCellAnchor>
    <xdr:from>
      <xdr:col>3</xdr:col>
      <xdr:colOff>410383</xdr:colOff>
      <xdr:row>6</xdr:row>
      <xdr:rowOff>112406</xdr:rowOff>
    </xdr:from>
    <xdr:to>
      <xdr:col>7</xdr:col>
      <xdr:colOff>750365</xdr:colOff>
      <xdr:row>7</xdr:row>
      <xdr:rowOff>130746</xdr:rowOff>
    </xdr:to>
    <xdr:sp macro="" textlink="">
      <xdr:nvSpPr>
        <xdr:cNvPr id="1066" name="Text Box 42">
          <a:hlinkClick xmlns:r="http://schemas.openxmlformats.org/officeDocument/2006/relationships" r:id="rId14"/>
          <a:extLst>
            <a:ext uri="{FF2B5EF4-FFF2-40B4-BE49-F238E27FC236}">
              <a16:creationId xmlns:a16="http://schemas.microsoft.com/office/drawing/2014/main" id="{00000000-0008-0000-0100-00002A040000}"/>
            </a:ext>
          </a:extLst>
        </xdr:cNvPr>
        <xdr:cNvSpPr txBox="1">
          <a:spLocks noChangeArrowheads="1"/>
        </xdr:cNvSpPr>
      </xdr:nvSpPr>
      <xdr:spPr bwMode="auto">
        <a:xfrm>
          <a:off x="1839133" y="1099542"/>
          <a:ext cx="2669277" cy="182863"/>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01 - </a:t>
          </a:r>
          <a:r>
            <a:rPr lang="en-AU" sz="1000" b="1" i="0">
              <a:effectLst/>
              <a:latin typeface="+mn-lt"/>
              <a:ea typeface="+mn-ea"/>
              <a:cs typeface="+mn-cs"/>
            </a:rPr>
            <a:t>Start up parameters  and summary</a:t>
          </a:r>
          <a:endParaRPr lang="en-AU" sz="800" b="1" i="0" strike="noStrike">
            <a:solidFill>
              <a:srgbClr val="000000"/>
            </a:solidFill>
            <a:latin typeface="Arial"/>
            <a:cs typeface="Arial"/>
          </a:endParaRPr>
        </a:p>
      </xdr:txBody>
    </xdr:sp>
    <xdr:clientData/>
  </xdr:twoCellAnchor>
  <xdr:twoCellAnchor>
    <xdr:from>
      <xdr:col>8</xdr:col>
      <xdr:colOff>166712</xdr:colOff>
      <xdr:row>18</xdr:row>
      <xdr:rowOff>2626</xdr:rowOff>
    </xdr:from>
    <xdr:to>
      <xdr:col>11</xdr:col>
      <xdr:colOff>575966</xdr:colOff>
      <xdr:row>19</xdr:row>
      <xdr:rowOff>19971</xdr:rowOff>
    </xdr:to>
    <xdr:sp macro="" textlink="">
      <xdr:nvSpPr>
        <xdr:cNvPr id="1070" name="Text Box 46">
          <a:hlinkClick xmlns:r="http://schemas.openxmlformats.org/officeDocument/2006/relationships" r:id="rId15"/>
          <a:extLst>
            <a:ext uri="{FF2B5EF4-FFF2-40B4-BE49-F238E27FC236}">
              <a16:creationId xmlns:a16="http://schemas.microsoft.com/office/drawing/2014/main" id="{00000000-0008-0000-0100-00002E040000}"/>
            </a:ext>
          </a:extLst>
        </xdr:cNvPr>
        <xdr:cNvSpPr txBox="1">
          <a:spLocks noChangeArrowheads="1"/>
        </xdr:cNvSpPr>
      </xdr:nvSpPr>
      <xdr:spPr bwMode="auto">
        <a:xfrm>
          <a:off x="4686757" y="2964035"/>
          <a:ext cx="2695254" cy="181868"/>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16 - Diet and consumable costs</a:t>
          </a:r>
        </a:p>
      </xdr:txBody>
    </xdr:sp>
    <xdr:clientData/>
  </xdr:twoCellAnchor>
  <xdr:twoCellAnchor>
    <xdr:from>
      <xdr:col>8</xdr:col>
      <xdr:colOff>166712</xdr:colOff>
      <xdr:row>12</xdr:row>
      <xdr:rowOff>49705</xdr:rowOff>
    </xdr:from>
    <xdr:to>
      <xdr:col>11</xdr:col>
      <xdr:colOff>575966</xdr:colOff>
      <xdr:row>13</xdr:row>
      <xdr:rowOff>67050</xdr:rowOff>
    </xdr:to>
    <xdr:sp macro="" textlink="">
      <xdr:nvSpPr>
        <xdr:cNvPr id="1079" name="Text Box 55">
          <a:hlinkClick xmlns:r="http://schemas.openxmlformats.org/officeDocument/2006/relationships" r:id="rId16"/>
          <a:extLst>
            <a:ext uri="{FF2B5EF4-FFF2-40B4-BE49-F238E27FC236}">
              <a16:creationId xmlns:a16="http://schemas.microsoft.com/office/drawing/2014/main" id="{00000000-0008-0000-0100-000037040000}"/>
            </a:ext>
          </a:extLst>
        </xdr:cNvPr>
        <xdr:cNvSpPr txBox="1">
          <a:spLocks noChangeArrowheads="1"/>
        </xdr:cNvSpPr>
      </xdr:nvSpPr>
      <xdr:spPr bwMode="auto">
        <a:xfrm>
          <a:off x="4686757" y="2023978"/>
          <a:ext cx="2695254" cy="181867"/>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27432" tIns="22860" rIns="0" bIns="0" anchor="ctr" upright="1"/>
        <a:lstStyle/>
        <a:p>
          <a:pPr algn="l" rtl="0">
            <a:defRPr sz="1000"/>
          </a:pPr>
          <a:r>
            <a:rPr lang="en-AU" sz="800" b="1" i="0" strike="noStrike">
              <a:solidFill>
                <a:srgbClr val="000000"/>
              </a:solidFill>
              <a:latin typeface="Arial"/>
              <a:cs typeface="Arial"/>
            </a:rPr>
            <a:t>13 - Construction</a:t>
          </a:r>
          <a:r>
            <a:rPr lang="en-AU" sz="800" b="1" i="0" strike="noStrike" baseline="0">
              <a:solidFill>
                <a:srgbClr val="000000"/>
              </a:solidFill>
              <a:latin typeface="Arial"/>
              <a:cs typeface="Arial"/>
            </a:rPr>
            <a:t> costs</a:t>
          </a:r>
          <a:endParaRPr lang="en-AU" sz="800" b="1" i="0" strike="noStrike">
            <a:solidFill>
              <a:srgbClr val="000000"/>
            </a:solidFill>
            <a:latin typeface="Arial"/>
            <a:cs typeface="Arial"/>
          </a:endParaRPr>
        </a:p>
      </xdr:txBody>
    </xdr:sp>
    <xdr:clientData/>
  </xdr:twoCellAnchor>
  <xdr:twoCellAnchor>
    <xdr:from>
      <xdr:col>3</xdr:col>
      <xdr:colOff>529880</xdr:colOff>
      <xdr:row>29</xdr:row>
      <xdr:rowOff>138663</xdr:rowOff>
    </xdr:from>
    <xdr:to>
      <xdr:col>8</xdr:col>
      <xdr:colOff>47569</xdr:colOff>
      <xdr:row>31</xdr:row>
      <xdr:rowOff>42555</xdr:rowOff>
    </xdr:to>
    <xdr:sp macro="" textlink="">
      <xdr:nvSpPr>
        <xdr:cNvPr id="1080" name="Text Box 56">
          <a:hlinkClick xmlns:r="http://schemas.openxmlformats.org/officeDocument/2006/relationships" r:id="rId17"/>
          <a:extLst>
            <a:ext uri="{FF2B5EF4-FFF2-40B4-BE49-F238E27FC236}">
              <a16:creationId xmlns:a16="http://schemas.microsoft.com/office/drawing/2014/main" id="{00000000-0008-0000-0100-000038040000}"/>
            </a:ext>
          </a:extLst>
        </xdr:cNvPr>
        <xdr:cNvSpPr txBox="1">
          <a:spLocks noChangeArrowheads="1"/>
        </xdr:cNvSpPr>
      </xdr:nvSpPr>
      <xdr:spPr bwMode="auto">
        <a:xfrm>
          <a:off x="1958630" y="4909822"/>
          <a:ext cx="2608984" cy="232938"/>
        </a:xfrm>
        <a:prstGeom prst="rect">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introduction page </a:t>
          </a:r>
        </a:p>
      </xdr:txBody>
    </xdr:sp>
    <xdr:clientData/>
  </xdr:twoCellAnchor>
  <xdr:twoCellAnchor editAs="oneCell">
    <xdr:from>
      <xdr:col>10</xdr:col>
      <xdr:colOff>424296</xdr:colOff>
      <xdr:row>1</xdr:row>
      <xdr:rowOff>124794</xdr:rowOff>
    </xdr:from>
    <xdr:to>
      <xdr:col>11</xdr:col>
      <xdr:colOff>519546</xdr:colOff>
      <xdr:row>5</xdr:row>
      <xdr:rowOff>103434</xdr:rowOff>
    </xdr:to>
    <xdr:pic>
      <xdr:nvPicPr>
        <xdr:cNvPr id="31" name="Picture 30">
          <a:extLst>
            <a:ext uri="{FF2B5EF4-FFF2-40B4-BE49-F238E27FC236}">
              <a16:creationId xmlns:a16="http://schemas.microsoft.com/office/drawing/2014/main" id="{70E31FFD-5804-441E-9D48-A263FDE9E912}"/>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6468341" y="289317"/>
          <a:ext cx="857250" cy="636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6</xdr:row>
      <xdr:rowOff>114300</xdr:rowOff>
    </xdr:from>
    <xdr:to>
      <xdr:col>4</xdr:col>
      <xdr:colOff>14159</xdr:colOff>
      <xdr:row>8</xdr:row>
      <xdr:rowOff>45722</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200-000003000000}"/>
            </a:ext>
          </a:extLst>
        </xdr:cNvPr>
        <xdr:cNvSpPr>
          <a:spLocks noChangeArrowheads="1"/>
        </xdr:cNvSpPr>
      </xdr:nvSpPr>
      <xdr:spPr bwMode="auto">
        <a:xfrm>
          <a:off x="3848100" y="1504950"/>
          <a:ext cx="15381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3</xdr:row>
      <xdr:rowOff>61018</xdr:rowOff>
    </xdr:from>
    <xdr:to>
      <xdr:col>6</xdr:col>
      <xdr:colOff>268059</xdr:colOff>
      <xdr:row>38</xdr:row>
      <xdr:rowOff>81642</xdr:rowOff>
    </xdr:to>
    <xdr:sp macro="" textlink="">
      <xdr:nvSpPr>
        <xdr:cNvPr id="2" name="166939 Rectángulo redondeado">
          <a:extLst>
            <a:ext uri="{FF2B5EF4-FFF2-40B4-BE49-F238E27FC236}">
              <a16:creationId xmlns:a16="http://schemas.microsoft.com/office/drawing/2014/main" id="{00000000-0008-0000-0300-000002000000}"/>
            </a:ext>
          </a:extLst>
        </xdr:cNvPr>
        <xdr:cNvSpPr/>
      </xdr:nvSpPr>
      <xdr:spPr bwMode="auto">
        <a:xfrm>
          <a:off x="2041071" y="686947"/>
          <a:ext cx="2486024" cy="5735624"/>
        </a:xfrm>
        <a:prstGeom prst="roundRect">
          <a:avLst>
            <a:gd name="adj" fmla="val 4964"/>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endParaRPr lang="es-ES">
            <a:latin typeface="Arial" panose="020B0604020202020204" pitchFamily="34" charset="0"/>
            <a:cs typeface="Arial" panose="020B0604020202020204" pitchFamily="34" charset="0"/>
          </a:endParaRPr>
        </a:p>
      </xdr:txBody>
    </xdr:sp>
    <xdr:clientData/>
  </xdr:twoCellAnchor>
  <xdr:twoCellAnchor>
    <xdr:from>
      <xdr:col>2</xdr:col>
      <xdr:colOff>698506</xdr:colOff>
      <xdr:row>3</xdr:row>
      <xdr:rowOff>137017</xdr:rowOff>
    </xdr:from>
    <xdr:to>
      <xdr:col>6</xdr:col>
      <xdr:colOff>359835</xdr:colOff>
      <xdr:row>5</xdr:row>
      <xdr:rowOff>31751</xdr:rowOff>
    </xdr:to>
    <xdr:sp macro="" textlink="">
      <xdr:nvSpPr>
        <xdr:cNvPr id="88" name="292 Rectángulo redondeado">
          <a:extLst>
            <a:ext uri="{FF2B5EF4-FFF2-40B4-BE49-F238E27FC236}">
              <a16:creationId xmlns:a16="http://schemas.microsoft.com/office/drawing/2014/main" id="{00000000-0008-0000-0300-000058000000}"/>
            </a:ext>
          </a:extLst>
        </xdr:cNvPr>
        <xdr:cNvSpPr/>
      </xdr:nvSpPr>
      <xdr:spPr bwMode="auto">
        <a:xfrm>
          <a:off x="941923" y="750850"/>
          <a:ext cx="2529412" cy="212234"/>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es-AR" sz="1100" b="1" i="1">
              <a:latin typeface="Arial" panose="020B0604020202020204" pitchFamily="34" charset="0"/>
              <a:cs typeface="Arial" panose="020B0604020202020204" pitchFamily="34" charset="0"/>
            </a:rPr>
            <a:t>COLONY</a:t>
          </a:r>
          <a:r>
            <a:rPr lang="es-AR" sz="1100" b="1" i="1" baseline="0">
              <a:latin typeface="Arial" panose="020B0604020202020204" pitchFamily="34" charset="0"/>
              <a:cs typeface="Arial" panose="020B0604020202020204" pitchFamily="34" charset="0"/>
            </a:rPr>
            <a:t> </a:t>
          </a:r>
          <a:r>
            <a:rPr lang="es-AR" sz="1100" b="1" i="1">
              <a:latin typeface="Arial" panose="020B0604020202020204" pitchFamily="34" charset="0"/>
              <a:cs typeface="Arial" panose="020B0604020202020204" pitchFamily="34" charset="0"/>
            </a:rPr>
            <a:t>PRODUCTION</a:t>
          </a:r>
        </a:p>
      </xdr:txBody>
    </xdr:sp>
    <xdr:clientData/>
  </xdr:twoCellAnchor>
  <xdr:oneCellAnchor>
    <xdr:from>
      <xdr:col>15</xdr:col>
      <xdr:colOff>284513</xdr:colOff>
      <xdr:row>4</xdr:row>
      <xdr:rowOff>148442</xdr:rowOff>
    </xdr:from>
    <xdr:ext cx="420584" cy="222662"/>
    <xdr:sp macro="" textlink="">
      <xdr:nvSpPr>
        <xdr:cNvPr id="285" name="282 Rectángulo redondeado">
          <a:extLst>
            <a:ext uri="{FF2B5EF4-FFF2-40B4-BE49-F238E27FC236}">
              <a16:creationId xmlns:a16="http://schemas.microsoft.com/office/drawing/2014/main" id="{00000000-0008-0000-0300-00001D010000}"/>
            </a:ext>
          </a:extLst>
        </xdr:cNvPr>
        <xdr:cNvSpPr/>
      </xdr:nvSpPr>
      <xdr:spPr bwMode="auto">
        <a:xfrm>
          <a:off x="1509156" y="6259286"/>
          <a:ext cx="420584" cy="222662"/>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endParaRPr lang="es-AR">
            <a:effectLst/>
            <a:latin typeface="Arial" panose="020B0604020202020204" pitchFamily="34" charset="0"/>
            <a:cs typeface="Arial" panose="020B0604020202020204" pitchFamily="34" charset="0"/>
          </a:endParaRPr>
        </a:p>
      </xdr:txBody>
    </xdr:sp>
    <xdr:clientData/>
  </xdr:oneCellAnchor>
  <xdr:twoCellAnchor>
    <xdr:from>
      <xdr:col>15</xdr:col>
      <xdr:colOff>348641</xdr:colOff>
      <xdr:row>10</xdr:row>
      <xdr:rowOff>75247</xdr:rowOff>
    </xdr:from>
    <xdr:to>
      <xdr:col>15</xdr:col>
      <xdr:colOff>717469</xdr:colOff>
      <xdr:row>10</xdr:row>
      <xdr:rowOff>75247</xdr:rowOff>
    </xdr:to>
    <xdr:cxnSp macro="">
      <xdr:nvCxnSpPr>
        <xdr:cNvPr id="289" name="63 Conector recto de flecha">
          <a:extLst>
            <a:ext uri="{FF2B5EF4-FFF2-40B4-BE49-F238E27FC236}">
              <a16:creationId xmlns:a16="http://schemas.microsoft.com/office/drawing/2014/main" id="{00000000-0008-0000-0300-000021010000}"/>
            </a:ext>
          </a:extLst>
        </xdr:cNvPr>
        <xdr:cNvCxnSpPr>
          <a:cxnSpLocks noChangeShapeType="1"/>
        </xdr:cNvCxnSpPr>
      </xdr:nvCxnSpPr>
      <xdr:spPr bwMode="auto">
        <a:xfrm>
          <a:off x="1354058" y="6880330"/>
          <a:ext cx="368828" cy="0"/>
        </a:xfrm>
        <a:prstGeom prst="straightConnector1">
          <a:avLst/>
        </a:prstGeom>
        <a:noFill/>
        <a:ln w="25400" algn="ctr">
          <a:solidFill>
            <a:schemeClr val="tx1"/>
          </a:solidFill>
          <a:prstDash val="solid"/>
          <a:round/>
          <a:headEnd/>
          <a:tailEnd type="arrow" w="med" len="med"/>
        </a:ln>
      </xdr:spPr>
    </xdr:cxnSp>
    <xdr:clientData/>
  </xdr:twoCellAnchor>
  <xdr:twoCellAnchor>
    <xdr:from>
      <xdr:col>15</xdr:col>
      <xdr:colOff>348641</xdr:colOff>
      <xdr:row>16</xdr:row>
      <xdr:rowOff>99987</xdr:rowOff>
    </xdr:from>
    <xdr:to>
      <xdr:col>15</xdr:col>
      <xdr:colOff>717469</xdr:colOff>
      <xdr:row>16</xdr:row>
      <xdr:rowOff>99987</xdr:rowOff>
    </xdr:to>
    <xdr:cxnSp macro="">
      <xdr:nvCxnSpPr>
        <xdr:cNvPr id="293" name="63 Conector recto de flecha">
          <a:extLst>
            <a:ext uri="{FF2B5EF4-FFF2-40B4-BE49-F238E27FC236}">
              <a16:creationId xmlns:a16="http://schemas.microsoft.com/office/drawing/2014/main" id="{00000000-0008-0000-0300-000025010000}"/>
            </a:ext>
          </a:extLst>
        </xdr:cNvPr>
        <xdr:cNvCxnSpPr>
          <a:cxnSpLocks noChangeShapeType="1"/>
        </xdr:cNvCxnSpPr>
      </xdr:nvCxnSpPr>
      <xdr:spPr bwMode="auto">
        <a:xfrm>
          <a:off x="1354058" y="7857570"/>
          <a:ext cx="368828" cy="0"/>
        </a:xfrm>
        <a:prstGeom prst="straightConnector1">
          <a:avLst/>
        </a:prstGeom>
        <a:noFill/>
        <a:ln w="25400" algn="ctr">
          <a:solidFill>
            <a:srgbClr val="00B050"/>
          </a:solidFill>
          <a:prstDash val="solid"/>
          <a:round/>
          <a:headEnd/>
          <a:tailEnd type="arrow" w="med" len="med"/>
        </a:ln>
      </xdr:spPr>
    </xdr:cxnSp>
    <xdr:clientData/>
  </xdr:twoCellAnchor>
  <xdr:twoCellAnchor>
    <xdr:from>
      <xdr:col>15</xdr:col>
      <xdr:colOff>348641</xdr:colOff>
      <xdr:row>14</xdr:row>
      <xdr:rowOff>91741</xdr:rowOff>
    </xdr:from>
    <xdr:to>
      <xdr:col>15</xdr:col>
      <xdr:colOff>717469</xdr:colOff>
      <xdr:row>14</xdr:row>
      <xdr:rowOff>91741</xdr:rowOff>
    </xdr:to>
    <xdr:cxnSp macro="">
      <xdr:nvCxnSpPr>
        <xdr:cNvPr id="294" name="63 Conector recto de flecha">
          <a:extLst>
            <a:ext uri="{FF2B5EF4-FFF2-40B4-BE49-F238E27FC236}">
              <a16:creationId xmlns:a16="http://schemas.microsoft.com/office/drawing/2014/main" id="{00000000-0008-0000-0300-000026010000}"/>
            </a:ext>
          </a:extLst>
        </xdr:cNvPr>
        <xdr:cNvCxnSpPr>
          <a:cxnSpLocks noChangeShapeType="1"/>
        </xdr:cNvCxnSpPr>
      </xdr:nvCxnSpPr>
      <xdr:spPr bwMode="auto">
        <a:xfrm>
          <a:off x="1354058" y="7531824"/>
          <a:ext cx="368828" cy="0"/>
        </a:xfrm>
        <a:prstGeom prst="straightConnector1">
          <a:avLst/>
        </a:prstGeom>
        <a:noFill/>
        <a:ln w="25400" algn="ctr">
          <a:solidFill>
            <a:srgbClr val="FF0000"/>
          </a:solidFill>
          <a:prstDash val="solid"/>
          <a:round/>
          <a:headEnd/>
          <a:tailEnd type="arrow" w="med" len="med"/>
        </a:ln>
      </xdr:spPr>
    </xdr:cxnSp>
    <xdr:clientData/>
  </xdr:twoCellAnchor>
  <xdr:twoCellAnchor>
    <xdr:from>
      <xdr:col>15</xdr:col>
      <xdr:colOff>348641</xdr:colOff>
      <xdr:row>12</xdr:row>
      <xdr:rowOff>83494</xdr:rowOff>
    </xdr:from>
    <xdr:to>
      <xdr:col>15</xdr:col>
      <xdr:colOff>717469</xdr:colOff>
      <xdr:row>12</xdr:row>
      <xdr:rowOff>83494</xdr:rowOff>
    </xdr:to>
    <xdr:cxnSp macro="">
      <xdr:nvCxnSpPr>
        <xdr:cNvPr id="295" name="63 Conector recto de flecha">
          <a:extLst>
            <a:ext uri="{FF2B5EF4-FFF2-40B4-BE49-F238E27FC236}">
              <a16:creationId xmlns:a16="http://schemas.microsoft.com/office/drawing/2014/main" id="{00000000-0008-0000-0300-000027010000}"/>
            </a:ext>
          </a:extLst>
        </xdr:cNvPr>
        <xdr:cNvCxnSpPr>
          <a:cxnSpLocks noChangeShapeType="1"/>
        </xdr:cNvCxnSpPr>
      </xdr:nvCxnSpPr>
      <xdr:spPr bwMode="auto">
        <a:xfrm>
          <a:off x="1354058" y="7206077"/>
          <a:ext cx="368828" cy="0"/>
        </a:xfrm>
        <a:prstGeom prst="straightConnector1">
          <a:avLst/>
        </a:prstGeom>
        <a:noFill/>
        <a:ln w="25400" algn="ctr">
          <a:solidFill>
            <a:srgbClr val="0099CC"/>
          </a:solidFill>
          <a:prstDash val="solid"/>
          <a:round/>
          <a:headEnd/>
          <a:tailEnd type="arrow" w="med" len="med"/>
        </a:ln>
      </xdr:spPr>
    </xdr:cxnSp>
    <xdr:clientData/>
  </xdr:twoCellAnchor>
  <xdr:twoCellAnchor>
    <xdr:from>
      <xdr:col>16</xdr:col>
      <xdr:colOff>395240</xdr:colOff>
      <xdr:row>21</xdr:row>
      <xdr:rowOff>100211</xdr:rowOff>
    </xdr:from>
    <xdr:to>
      <xdr:col>17</xdr:col>
      <xdr:colOff>1275115</xdr:colOff>
      <xdr:row>23</xdr:row>
      <xdr:rowOff>34808</xdr:rowOff>
    </xdr:to>
    <xdr:sp macro="" textlink="">
      <xdr:nvSpPr>
        <xdr:cNvPr id="298" name="AutoShape 8">
          <a:hlinkClick xmlns:r="http://schemas.openxmlformats.org/officeDocument/2006/relationships" r:id="rId1"/>
          <a:extLst>
            <a:ext uri="{FF2B5EF4-FFF2-40B4-BE49-F238E27FC236}">
              <a16:creationId xmlns:a16="http://schemas.microsoft.com/office/drawing/2014/main" id="{00000000-0008-0000-0300-00002A010000}"/>
            </a:ext>
          </a:extLst>
        </xdr:cNvPr>
        <xdr:cNvSpPr>
          <a:spLocks noChangeArrowheads="1"/>
        </xdr:cNvSpPr>
      </xdr:nvSpPr>
      <xdr:spPr bwMode="auto">
        <a:xfrm>
          <a:off x="12263390" y="3624461"/>
          <a:ext cx="1641875" cy="258447"/>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oneCellAnchor>
    <xdr:from>
      <xdr:col>15</xdr:col>
      <xdr:colOff>292072</xdr:colOff>
      <xdr:row>7</xdr:row>
      <xdr:rowOff>0</xdr:rowOff>
    </xdr:from>
    <xdr:ext cx="420584" cy="222662"/>
    <xdr:sp macro="" textlink="">
      <xdr:nvSpPr>
        <xdr:cNvPr id="112" name="282 Rectángulo redondeado">
          <a:extLst>
            <a:ext uri="{FF2B5EF4-FFF2-40B4-BE49-F238E27FC236}">
              <a16:creationId xmlns:a16="http://schemas.microsoft.com/office/drawing/2014/main" id="{00000000-0008-0000-0300-000070000000}"/>
            </a:ext>
          </a:extLst>
        </xdr:cNvPr>
        <xdr:cNvSpPr/>
      </xdr:nvSpPr>
      <xdr:spPr bwMode="auto">
        <a:xfrm>
          <a:off x="1297489" y="6301624"/>
          <a:ext cx="420584" cy="22266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endParaRPr lang="es-AR">
            <a:effectLst/>
            <a:latin typeface="Arial" panose="020B0604020202020204" pitchFamily="34" charset="0"/>
            <a:cs typeface="Arial" panose="020B0604020202020204" pitchFamily="34" charset="0"/>
          </a:endParaRPr>
        </a:p>
      </xdr:txBody>
    </xdr:sp>
    <xdr:clientData/>
  </xdr:oneCellAnchor>
  <xdr:oneCellAnchor>
    <xdr:from>
      <xdr:col>3</xdr:col>
      <xdr:colOff>470901</xdr:colOff>
      <xdr:row>8</xdr:row>
      <xdr:rowOff>47856</xdr:rowOff>
    </xdr:from>
    <xdr:ext cx="1620000" cy="179482"/>
    <xdr:sp macro="" textlink="">
      <xdr:nvSpPr>
        <xdr:cNvPr id="100" name="242 Rectángulo redondeado">
          <a:extLst>
            <a:ext uri="{FF2B5EF4-FFF2-40B4-BE49-F238E27FC236}">
              <a16:creationId xmlns:a16="http://schemas.microsoft.com/office/drawing/2014/main" id="{D2C6BAA7-E29D-4308-8FF4-6987A0760A28}"/>
            </a:ext>
          </a:extLst>
        </xdr:cNvPr>
        <xdr:cNvSpPr/>
      </xdr:nvSpPr>
      <xdr:spPr bwMode="auto">
        <a:xfrm>
          <a:off x="3083472" y="1490213"/>
          <a:ext cx="1620000" cy="179482"/>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L1 seeding of trays</a:t>
          </a:r>
          <a:endParaRPr lang="es-AR">
            <a:effectLst/>
            <a:latin typeface="Arial" panose="020B0604020202020204" pitchFamily="34" charset="0"/>
            <a:cs typeface="Arial" panose="020B0604020202020204" pitchFamily="34" charset="0"/>
          </a:endParaRPr>
        </a:p>
      </xdr:txBody>
    </xdr:sp>
    <xdr:clientData/>
  </xdr:oneCellAnchor>
  <xdr:oneCellAnchor>
    <xdr:from>
      <xdr:col>3</xdr:col>
      <xdr:colOff>470901</xdr:colOff>
      <xdr:row>10</xdr:row>
      <xdr:rowOff>151418</xdr:rowOff>
    </xdr:from>
    <xdr:ext cx="1620000" cy="179482"/>
    <xdr:sp macro="" textlink="">
      <xdr:nvSpPr>
        <xdr:cNvPr id="106" name="243 Rectángulo redondeado">
          <a:extLst>
            <a:ext uri="{FF2B5EF4-FFF2-40B4-BE49-F238E27FC236}">
              <a16:creationId xmlns:a16="http://schemas.microsoft.com/office/drawing/2014/main" id="{2C9F33FF-32E1-4320-BF94-1B06D0A7E4E1}"/>
            </a:ext>
          </a:extLst>
        </xdr:cNvPr>
        <xdr:cNvSpPr/>
      </xdr:nvSpPr>
      <xdr:spPr bwMode="auto">
        <a:xfrm>
          <a:off x="3083472" y="1920347"/>
          <a:ext cx="1620000" cy="179482"/>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AR" sz="1100">
              <a:effectLst/>
              <a:latin typeface="Arial" panose="020B0604020202020204" pitchFamily="34" charset="0"/>
              <a:ea typeface="+mn-ea"/>
              <a:cs typeface="Arial" panose="020B0604020202020204" pitchFamily="34" charset="0"/>
            </a:rPr>
            <a:t>Feeding larvae </a:t>
          </a:r>
        </a:p>
      </xdr:txBody>
    </xdr:sp>
    <xdr:clientData/>
  </xdr:oneCellAnchor>
  <xdr:oneCellAnchor>
    <xdr:from>
      <xdr:col>3</xdr:col>
      <xdr:colOff>470901</xdr:colOff>
      <xdr:row>13</xdr:row>
      <xdr:rowOff>96230</xdr:rowOff>
    </xdr:from>
    <xdr:ext cx="1620000" cy="538445"/>
    <xdr:sp macro="" textlink="">
      <xdr:nvSpPr>
        <xdr:cNvPr id="107" name="244 Rectángulo redondeado">
          <a:extLst>
            <a:ext uri="{FF2B5EF4-FFF2-40B4-BE49-F238E27FC236}">
              <a16:creationId xmlns:a16="http://schemas.microsoft.com/office/drawing/2014/main" id="{44F899D0-55FF-464D-BBE0-824D1B6A8342}"/>
            </a:ext>
          </a:extLst>
        </xdr:cNvPr>
        <xdr:cNvSpPr/>
      </xdr:nvSpPr>
      <xdr:spPr bwMode="auto">
        <a:xfrm>
          <a:off x="3083472" y="2355016"/>
          <a:ext cx="1620000" cy="538445"/>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Tilting and collection of pupae/larvae on the first day of pupation </a:t>
          </a:r>
          <a:endParaRPr lang="es-AR">
            <a:effectLst/>
            <a:latin typeface="Arial" panose="020B0604020202020204" pitchFamily="34" charset="0"/>
            <a:cs typeface="Arial" panose="020B0604020202020204" pitchFamily="34" charset="0"/>
          </a:endParaRPr>
        </a:p>
      </xdr:txBody>
    </xdr:sp>
    <xdr:clientData/>
  </xdr:oneCellAnchor>
  <xdr:oneCellAnchor>
    <xdr:from>
      <xdr:col>3</xdr:col>
      <xdr:colOff>470901</xdr:colOff>
      <xdr:row>18</xdr:row>
      <xdr:rowOff>82505</xdr:rowOff>
    </xdr:from>
    <xdr:ext cx="1620000" cy="179482"/>
    <xdr:sp macro="" textlink="">
      <xdr:nvSpPr>
        <xdr:cNvPr id="109" name="245 Rectángulo redondeado">
          <a:extLst>
            <a:ext uri="{FF2B5EF4-FFF2-40B4-BE49-F238E27FC236}">
              <a16:creationId xmlns:a16="http://schemas.microsoft.com/office/drawing/2014/main" id="{5C424CCD-4E3D-48D6-B71E-688EF41178B5}"/>
            </a:ext>
          </a:extLst>
        </xdr:cNvPr>
        <xdr:cNvSpPr/>
      </xdr:nvSpPr>
      <xdr:spPr bwMode="auto">
        <a:xfrm>
          <a:off x="3083472" y="3157719"/>
          <a:ext cx="1620000" cy="179482"/>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Sorting of pupae/larvae </a:t>
          </a:r>
          <a:endParaRPr lang="es-AR">
            <a:effectLst/>
            <a:latin typeface="Arial" panose="020B0604020202020204" pitchFamily="34" charset="0"/>
            <a:cs typeface="Arial" panose="020B0604020202020204" pitchFamily="34" charset="0"/>
          </a:endParaRPr>
        </a:p>
      </xdr:txBody>
    </xdr:sp>
    <xdr:clientData/>
  </xdr:oneCellAnchor>
  <xdr:oneCellAnchor>
    <xdr:from>
      <xdr:col>3</xdr:col>
      <xdr:colOff>470901</xdr:colOff>
      <xdr:row>21</xdr:row>
      <xdr:rowOff>53035</xdr:rowOff>
    </xdr:from>
    <xdr:ext cx="1620000" cy="545924"/>
    <xdr:sp macro="" textlink="">
      <xdr:nvSpPr>
        <xdr:cNvPr id="110" name="247 Rectángulo redondeado">
          <a:extLst>
            <a:ext uri="{FF2B5EF4-FFF2-40B4-BE49-F238E27FC236}">
              <a16:creationId xmlns:a16="http://schemas.microsoft.com/office/drawing/2014/main" id="{D028F441-A18D-4686-AF06-9AD0F8239764}"/>
            </a:ext>
          </a:extLst>
        </xdr:cNvPr>
        <xdr:cNvSpPr/>
      </xdr:nvSpPr>
      <xdr:spPr bwMode="auto">
        <a:xfrm>
          <a:off x="3083472" y="3618106"/>
          <a:ext cx="1620000" cy="545924"/>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s-AR" sz="1100">
              <a:effectLst/>
              <a:latin typeface="Arial" panose="020B0604020202020204" pitchFamily="34" charset="0"/>
              <a:ea typeface="+mn-ea"/>
              <a:cs typeface="Arial" panose="020B0604020202020204" pitchFamily="34" charset="0"/>
            </a:rPr>
            <a:t>Loading of larvae in the colony cages with the desired sex ratio</a:t>
          </a:r>
          <a:endParaRPr lang="es-AR">
            <a:effectLst/>
            <a:latin typeface="Arial" panose="020B0604020202020204" pitchFamily="34" charset="0"/>
            <a:cs typeface="Arial" panose="020B0604020202020204" pitchFamily="34" charset="0"/>
          </a:endParaRPr>
        </a:p>
      </xdr:txBody>
    </xdr:sp>
    <xdr:clientData/>
  </xdr:oneCellAnchor>
  <xdr:twoCellAnchor>
    <xdr:from>
      <xdr:col>4</xdr:col>
      <xdr:colOff>518901</xdr:colOff>
      <xdr:row>9</xdr:row>
      <xdr:rowOff>64052</xdr:rowOff>
    </xdr:from>
    <xdr:to>
      <xdr:col>4</xdr:col>
      <xdr:colOff>518901</xdr:colOff>
      <xdr:row>10</xdr:row>
      <xdr:rowOff>151418</xdr:rowOff>
    </xdr:to>
    <xdr:cxnSp macro="">
      <xdr:nvCxnSpPr>
        <xdr:cNvPr id="113" name="255 Conector recto de flecha">
          <a:extLst>
            <a:ext uri="{FF2B5EF4-FFF2-40B4-BE49-F238E27FC236}">
              <a16:creationId xmlns:a16="http://schemas.microsoft.com/office/drawing/2014/main" id="{61FFB7D3-C011-4CE3-96FC-CD991CDB7DC3}"/>
            </a:ext>
          </a:extLst>
        </xdr:cNvPr>
        <xdr:cNvCxnSpPr>
          <a:cxnSpLocks noChangeShapeType="1"/>
          <a:stCxn id="100" idx="2"/>
          <a:endCxn id="106" idx="0"/>
        </xdr:cNvCxnSpPr>
      </xdr:nvCxnSpPr>
      <xdr:spPr bwMode="auto">
        <a:xfrm>
          <a:off x="3893472" y="1669695"/>
          <a:ext cx="0" cy="250652"/>
        </a:xfrm>
        <a:prstGeom prst="straightConnector1">
          <a:avLst/>
        </a:prstGeom>
        <a:noFill/>
        <a:ln w="25400" algn="ctr">
          <a:solidFill>
            <a:srgbClr val="00B0F0"/>
          </a:solidFill>
          <a:round/>
          <a:headEnd/>
          <a:tailEnd type="arrow" w="med" len="med"/>
        </a:ln>
      </xdr:spPr>
    </xdr:cxnSp>
    <xdr:clientData/>
  </xdr:twoCellAnchor>
  <xdr:twoCellAnchor>
    <xdr:from>
      <xdr:col>4</xdr:col>
      <xdr:colOff>518901</xdr:colOff>
      <xdr:row>12</xdr:row>
      <xdr:rowOff>4329</xdr:rowOff>
    </xdr:from>
    <xdr:to>
      <xdr:col>4</xdr:col>
      <xdr:colOff>518901</xdr:colOff>
      <xdr:row>13</xdr:row>
      <xdr:rowOff>96230</xdr:rowOff>
    </xdr:to>
    <xdr:cxnSp macro="">
      <xdr:nvCxnSpPr>
        <xdr:cNvPr id="114" name="256 Conector recto de flecha">
          <a:extLst>
            <a:ext uri="{FF2B5EF4-FFF2-40B4-BE49-F238E27FC236}">
              <a16:creationId xmlns:a16="http://schemas.microsoft.com/office/drawing/2014/main" id="{4454041A-E238-49E7-8505-725237E9AFAC}"/>
            </a:ext>
          </a:extLst>
        </xdr:cNvPr>
        <xdr:cNvCxnSpPr>
          <a:cxnSpLocks noChangeShapeType="1"/>
          <a:stCxn id="106" idx="2"/>
          <a:endCxn id="107" idx="0"/>
        </xdr:cNvCxnSpPr>
      </xdr:nvCxnSpPr>
      <xdr:spPr bwMode="auto">
        <a:xfrm>
          <a:off x="3893472" y="2099829"/>
          <a:ext cx="0" cy="255187"/>
        </a:xfrm>
        <a:prstGeom prst="straightConnector1">
          <a:avLst/>
        </a:prstGeom>
        <a:noFill/>
        <a:ln w="25400" algn="ctr">
          <a:solidFill>
            <a:srgbClr val="00B0F0"/>
          </a:solidFill>
          <a:round/>
          <a:headEnd/>
          <a:tailEnd type="arrow" w="med" len="med"/>
        </a:ln>
      </xdr:spPr>
    </xdr:cxnSp>
    <xdr:clientData/>
  </xdr:twoCellAnchor>
  <xdr:twoCellAnchor>
    <xdr:from>
      <xdr:col>4</xdr:col>
      <xdr:colOff>518901</xdr:colOff>
      <xdr:row>16</xdr:row>
      <xdr:rowOff>144818</xdr:rowOff>
    </xdr:from>
    <xdr:to>
      <xdr:col>4</xdr:col>
      <xdr:colOff>518901</xdr:colOff>
      <xdr:row>18</xdr:row>
      <xdr:rowOff>82505</xdr:rowOff>
    </xdr:to>
    <xdr:cxnSp macro="">
      <xdr:nvCxnSpPr>
        <xdr:cNvPr id="115" name="257 Conector recto de flecha">
          <a:extLst>
            <a:ext uri="{FF2B5EF4-FFF2-40B4-BE49-F238E27FC236}">
              <a16:creationId xmlns:a16="http://schemas.microsoft.com/office/drawing/2014/main" id="{657F3C70-B61A-439C-934B-230D00B052FC}"/>
            </a:ext>
          </a:extLst>
        </xdr:cNvPr>
        <xdr:cNvCxnSpPr>
          <a:cxnSpLocks noChangeShapeType="1"/>
          <a:stCxn id="107" idx="2"/>
          <a:endCxn id="109" idx="0"/>
        </xdr:cNvCxnSpPr>
      </xdr:nvCxnSpPr>
      <xdr:spPr bwMode="auto">
        <a:xfrm>
          <a:off x="3893472" y="2893461"/>
          <a:ext cx="0" cy="264258"/>
        </a:xfrm>
        <a:prstGeom prst="straightConnector1">
          <a:avLst/>
        </a:prstGeom>
        <a:noFill/>
        <a:ln w="25400" algn="ctr">
          <a:solidFill>
            <a:srgbClr val="00B0F0"/>
          </a:solidFill>
          <a:round/>
          <a:headEnd/>
          <a:tailEnd type="arrow" w="med" len="med"/>
        </a:ln>
      </xdr:spPr>
    </xdr:cxnSp>
    <xdr:clientData/>
  </xdr:twoCellAnchor>
  <xdr:twoCellAnchor>
    <xdr:from>
      <xdr:col>4</xdr:col>
      <xdr:colOff>518901</xdr:colOff>
      <xdr:row>19</xdr:row>
      <xdr:rowOff>98701</xdr:rowOff>
    </xdr:from>
    <xdr:to>
      <xdr:col>4</xdr:col>
      <xdr:colOff>518901</xdr:colOff>
      <xdr:row>21</xdr:row>
      <xdr:rowOff>53035</xdr:rowOff>
    </xdr:to>
    <xdr:cxnSp macro="">
      <xdr:nvCxnSpPr>
        <xdr:cNvPr id="116" name="258 Conector recto de flecha">
          <a:extLst>
            <a:ext uri="{FF2B5EF4-FFF2-40B4-BE49-F238E27FC236}">
              <a16:creationId xmlns:a16="http://schemas.microsoft.com/office/drawing/2014/main" id="{80E57960-8796-471F-833E-FA5023D6EE27}"/>
            </a:ext>
          </a:extLst>
        </xdr:cNvPr>
        <xdr:cNvCxnSpPr>
          <a:cxnSpLocks noChangeShapeType="1"/>
          <a:stCxn id="109" idx="2"/>
          <a:endCxn id="110" idx="0"/>
        </xdr:cNvCxnSpPr>
      </xdr:nvCxnSpPr>
      <xdr:spPr bwMode="auto">
        <a:xfrm>
          <a:off x="3893472" y="3337201"/>
          <a:ext cx="0" cy="280905"/>
        </a:xfrm>
        <a:prstGeom prst="straightConnector1">
          <a:avLst/>
        </a:prstGeom>
        <a:noFill/>
        <a:ln w="25400" algn="ctr">
          <a:solidFill>
            <a:srgbClr val="00B0F0"/>
          </a:solidFill>
          <a:round/>
          <a:headEnd/>
          <a:tailEnd type="arrow" w="med" len="med"/>
        </a:ln>
      </xdr:spPr>
    </xdr:cxnSp>
    <xdr:clientData/>
  </xdr:twoCellAnchor>
  <xdr:oneCellAnchor>
    <xdr:from>
      <xdr:col>3</xdr:col>
      <xdr:colOff>470901</xdr:colOff>
      <xdr:row>31</xdr:row>
      <xdr:rowOff>80705</xdr:rowOff>
    </xdr:from>
    <xdr:ext cx="1620000" cy="378361"/>
    <xdr:sp macro="" textlink="">
      <xdr:nvSpPr>
        <xdr:cNvPr id="117" name="15 Rectángulo redondeado">
          <a:extLst>
            <a:ext uri="{FF2B5EF4-FFF2-40B4-BE49-F238E27FC236}">
              <a16:creationId xmlns:a16="http://schemas.microsoft.com/office/drawing/2014/main" id="{01369FA5-2EB0-4703-8559-E92CCD98EDEB}"/>
            </a:ext>
          </a:extLst>
        </xdr:cNvPr>
        <xdr:cNvSpPr/>
      </xdr:nvSpPr>
      <xdr:spPr bwMode="auto">
        <a:xfrm>
          <a:off x="3083472" y="5278634"/>
          <a:ext cx="1620000" cy="378361"/>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AR" sz="1100">
              <a:effectLst/>
              <a:latin typeface="Arial" panose="020B0604020202020204" pitchFamily="34" charset="0"/>
              <a:ea typeface="+mn-ea"/>
              <a:cs typeface="Arial" panose="020B0604020202020204" pitchFamily="34" charset="0"/>
            </a:rPr>
            <a:t>Egg Collection </a:t>
          </a:r>
          <a:endParaRPr lang="es-AR">
            <a:effectLst/>
            <a:latin typeface="Arial" panose="020B0604020202020204" pitchFamily="34" charset="0"/>
            <a:cs typeface="Arial" panose="020B0604020202020204" pitchFamily="34" charset="0"/>
          </a:endParaRPr>
        </a:p>
      </xdr:txBody>
    </xdr:sp>
    <xdr:clientData/>
  </xdr:oneCellAnchor>
  <xdr:twoCellAnchor>
    <xdr:from>
      <xdr:col>4</xdr:col>
      <xdr:colOff>518901</xdr:colOff>
      <xdr:row>24</xdr:row>
      <xdr:rowOff>109101</xdr:rowOff>
    </xdr:from>
    <xdr:to>
      <xdr:col>4</xdr:col>
      <xdr:colOff>518901</xdr:colOff>
      <xdr:row>26</xdr:row>
      <xdr:rowOff>101217</xdr:rowOff>
    </xdr:to>
    <xdr:cxnSp macro="">
      <xdr:nvCxnSpPr>
        <xdr:cNvPr id="118" name="18 Conector recto de flecha">
          <a:extLst>
            <a:ext uri="{FF2B5EF4-FFF2-40B4-BE49-F238E27FC236}">
              <a16:creationId xmlns:a16="http://schemas.microsoft.com/office/drawing/2014/main" id="{CB2E8FE1-6797-4D73-AF96-8B86037E5C54}"/>
            </a:ext>
          </a:extLst>
        </xdr:cNvPr>
        <xdr:cNvCxnSpPr>
          <a:cxnSpLocks noChangeShapeType="1"/>
          <a:stCxn id="110" idx="2"/>
          <a:endCxn id="119" idx="0"/>
        </xdr:cNvCxnSpPr>
      </xdr:nvCxnSpPr>
      <xdr:spPr bwMode="auto">
        <a:xfrm>
          <a:off x="3893472" y="4164030"/>
          <a:ext cx="0" cy="318687"/>
        </a:xfrm>
        <a:prstGeom prst="straightConnector1">
          <a:avLst/>
        </a:prstGeom>
        <a:noFill/>
        <a:ln w="25400" algn="ctr">
          <a:solidFill>
            <a:srgbClr val="00B050"/>
          </a:solidFill>
          <a:round/>
          <a:headEnd/>
          <a:tailEnd type="arrow" w="med" len="med"/>
        </a:ln>
      </xdr:spPr>
    </xdr:cxnSp>
    <xdr:clientData/>
  </xdr:twoCellAnchor>
  <xdr:oneCellAnchor>
    <xdr:from>
      <xdr:col>3</xdr:col>
      <xdr:colOff>470901</xdr:colOff>
      <xdr:row>26</xdr:row>
      <xdr:rowOff>101217</xdr:rowOff>
    </xdr:from>
    <xdr:ext cx="1620000" cy="518054"/>
    <xdr:sp macro="" textlink="">
      <xdr:nvSpPr>
        <xdr:cNvPr id="119" name="247 Rectángulo redondeado">
          <a:extLst>
            <a:ext uri="{FF2B5EF4-FFF2-40B4-BE49-F238E27FC236}">
              <a16:creationId xmlns:a16="http://schemas.microsoft.com/office/drawing/2014/main" id="{029D1300-A227-4624-9C1D-23B031BA51C5}"/>
            </a:ext>
          </a:extLst>
        </xdr:cNvPr>
        <xdr:cNvSpPr/>
      </xdr:nvSpPr>
      <xdr:spPr bwMode="auto">
        <a:xfrm>
          <a:off x="3083472" y="4482717"/>
          <a:ext cx="1620000" cy="518054"/>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s-AR" sz="1100">
              <a:effectLst/>
              <a:latin typeface="Arial" panose="020B0604020202020204" pitchFamily="34" charset="0"/>
              <a:ea typeface="+mn-ea"/>
              <a:cs typeface="Arial" panose="020B0604020202020204" pitchFamily="34" charset="0"/>
            </a:rPr>
            <a:t>Blood feeding </a:t>
          </a:r>
          <a:endParaRPr lang="es-AR">
            <a:effectLst/>
            <a:latin typeface="Arial" panose="020B0604020202020204" pitchFamily="34" charset="0"/>
            <a:cs typeface="Arial" panose="020B0604020202020204" pitchFamily="34" charset="0"/>
          </a:endParaRPr>
        </a:p>
      </xdr:txBody>
    </xdr:sp>
    <xdr:clientData/>
  </xdr:oneCellAnchor>
  <xdr:twoCellAnchor>
    <xdr:from>
      <xdr:col>4</xdr:col>
      <xdr:colOff>518901</xdr:colOff>
      <xdr:row>29</xdr:row>
      <xdr:rowOff>129414</xdr:rowOff>
    </xdr:from>
    <xdr:to>
      <xdr:col>4</xdr:col>
      <xdr:colOff>518901</xdr:colOff>
      <xdr:row>31</xdr:row>
      <xdr:rowOff>80705</xdr:rowOff>
    </xdr:to>
    <xdr:cxnSp macro="">
      <xdr:nvCxnSpPr>
        <xdr:cNvPr id="120" name="258 Conector recto de flecha">
          <a:extLst>
            <a:ext uri="{FF2B5EF4-FFF2-40B4-BE49-F238E27FC236}">
              <a16:creationId xmlns:a16="http://schemas.microsoft.com/office/drawing/2014/main" id="{2D2FA104-4019-40A7-97AE-D3DDAE49C1C7}"/>
            </a:ext>
          </a:extLst>
        </xdr:cNvPr>
        <xdr:cNvCxnSpPr>
          <a:cxnSpLocks noChangeShapeType="1"/>
          <a:stCxn id="119" idx="2"/>
          <a:endCxn id="117" idx="0"/>
        </xdr:cNvCxnSpPr>
      </xdr:nvCxnSpPr>
      <xdr:spPr bwMode="auto">
        <a:xfrm>
          <a:off x="3893472" y="5000771"/>
          <a:ext cx="0" cy="277863"/>
        </a:xfrm>
        <a:prstGeom prst="straightConnector1">
          <a:avLst/>
        </a:prstGeom>
        <a:noFill/>
        <a:ln w="25400" algn="ctr">
          <a:solidFill>
            <a:srgbClr val="00B050"/>
          </a:solidFill>
          <a:round/>
          <a:headEnd/>
          <a:tailEnd type="arrow" w="med" len="med"/>
        </a:ln>
      </xdr:spPr>
    </xdr:cxnSp>
    <xdr:clientData/>
  </xdr:twoCellAnchor>
  <xdr:oneCellAnchor>
    <xdr:from>
      <xdr:col>3</xdr:col>
      <xdr:colOff>470901</xdr:colOff>
      <xdr:row>5</xdr:row>
      <xdr:rowOff>103044</xdr:rowOff>
    </xdr:from>
    <xdr:ext cx="1620000" cy="179482"/>
    <xdr:sp macro="" textlink="">
      <xdr:nvSpPr>
        <xdr:cNvPr id="122" name="242 Rectángulo redondeado">
          <a:extLst>
            <a:ext uri="{FF2B5EF4-FFF2-40B4-BE49-F238E27FC236}">
              <a16:creationId xmlns:a16="http://schemas.microsoft.com/office/drawing/2014/main" id="{B07EB114-84F0-43AA-8611-226E80C5D7FD}"/>
            </a:ext>
          </a:extLst>
        </xdr:cNvPr>
        <xdr:cNvSpPr/>
      </xdr:nvSpPr>
      <xdr:spPr bwMode="auto">
        <a:xfrm>
          <a:off x="3083472" y="1055544"/>
          <a:ext cx="1620000" cy="179482"/>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Egg hatching</a:t>
          </a:r>
          <a:endParaRPr lang="es-AR">
            <a:effectLst/>
            <a:latin typeface="Arial" panose="020B0604020202020204" pitchFamily="34" charset="0"/>
            <a:cs typeface="Arial" panose="020B0604020202020204" pitchFamily="34" charset="0"/>
          </a:endParaRPr>
        </a:p>
      </xdr:txBody>
    </xdr:sp>
    <xdr:clientData/>
  </xdr:oneCellAnchor>
  <xdr:twoCellAnchor>
    <xdr:from>
      <xdr:col>4</xdr:col>
      <xdr:colOff>518901</xdr:colOff>
      <xdr:row>6</xdr:row>
      <xdr:rowOff>119240</xdr:rowOff>
    </xdr:from>
    <xdr:to>
      <xdr:col>4</xdr:col>
      <xdr:colOff>518901</xdr:colOff>
      <xdr:row>8</xdr:row>
      <xdr:rowOff>47856</xdr:rowOff>
    </xdr:to>
    <xdr:cxnSp macro="">
      <xdr:nvCxnSpPr>
        <xdr:cNvPr id="123" name="255 Conector recto de flecha">
          <a:extLst>
            <a:ext uri="{FF2B5EF4-FFF2-40B4-BE49-F238E27FC236}">
              <a16:creationId xmlns:a16="http://schemas.microsoft.com/office/drawing/2014/main" id="{E851A41B-98F1-4913-BCE7-C85C69A2228D}"/>
            </a:ext>
          </a:extLst>
        </xdr:cNvPr>
        <xdr:cNvCxnSpPr>
          <a:cxnSpLocks noChangeShapeType="1"/>
          <a:stCxn id="122" idx="2"/>
          <a:endCxn id="100" idx="0"/>
        </xdr:cNvCxnSpPr>
      </xdr:nvCxnSpPr>
      <xdr:spPr bwMode="auto">
        <a:xfrm>
          <a:off x="3893472" y="1235026"/>
          <a:ext cx="0" cy="255187"/>
        </a:xfrm>
        <a:prstGeom prst="straightConnector1">
          <a:avLst/>
        </a:prstGeom>
        <a:noFill/>
        <a:ln w="25400" algn="ctr">
          <a:solidFill>
            <a:srgbClr val="00B0F0"/>
          </a:solidFill>
          <a:round/>
          <a:headEnd/>
          <a:tailEnd type="arrow" w="med" len="med"/>
        </a:ln>
      </xdr:spPr>
    </xdr:cxnSp>
    <xdr:clientData/>
  </xdr:twoCellAnchor>
  <xdr:twoCellAnchor>
    <xdr:from>
      <xdr:col>3</xdr:col>
      <xdr:colOff>117866</xdr:colOff>
      <xdr:row>36</xdr:row>
      <xdr:rowOff>120208</xdr:rowOff>
    </xdr:from>
    <xdr:to>
      <xdr:col>3</xdr:col>
      <xdr:colOff>477866</xdr:colOff>
      <xdr:row>36</xdr:row>
      <xdr:rowOff>120208</xdr:rowOff>
    </xdr:to>
    <xdr:cxnSp macro="">
      <xdr:nvCxnSpPr>
        <xdr:cNvPr id="63" name="Straight Connector 62">
          <a:extLst>
            <a:ext uri="{FF2B5EF4-FFF2-40B4-BE49-F238E27FC236}">
              <a16:creationId xmlns:a16="http://schemas.microsoft.com/office/drawing/2014/main" id="{D7AA0A54-AB27-4DED-A295-628E551C9D80}"/>
            </a:ext>
          </a:extLst>
        </xdr:cNvPr>
        <xdr:cNvCxnSpPr/>
      </xdr:nvCxnSpPr>
      <xdr:spPr bwMode="auto">
        <a:xfrm>
          <a:off x="2730437" y="6134565"/>
          <a:ext cx="360000" cy="0"/>
        </a:xfrm>
        <a:prstGeom prst="line">
          <a:avLst/>
        </a:prstGeom>
        <a:gradFill rotWithShape="0">
          <a:gsLst>
            <a:gs pos="0">
              <a:srgbClr val="00FF00"/>
            </a:gs>
            <a:gs pos="50000">
              <a:srgbClr val="FFFF99"/>
            </a:gs>
            <a:gs pos="100000">
              <a:srgbClr val="00FF00"/>
            </a:gs>
          </a:gsLst>
          <a:lin ang="5400000" scaled="1"/>
        </a:gradFill>
        <a:ln w="28575" cap="flat" cmpd="sng" algn="ctr">
          <a:solidFill>
            <a:srgbClr val="000000"/>
          </a:solidFill>
          <a:prstDash val="solid"/>
          <a:round/>
          <a:headEnd type="none" w="med" len="med"/>
          <a:tailEnd type="none" w="med" len="med"/>
        </a:ln>
        <a:effectLst/>
      </xdr:spPr>
    </xdr:cxnSp>
    <xdr:clientData/>
  </xdr:twoCellAnchor>
  <xdr:twoCellAnchor>
    <xdr:from>
      <xdr:col>9</xdr:col>
      <xdr:colOff>81641</xdr:colOff>
      <xdr:row>11</xdr:row>
      <xdr:rowOff>31741</xdr:rowOff>
    </xdr:from>
    <xdr:to>
      <xdr:col>14</xdr:col>
      <xdr:colOff>503460</xdr:colOff>
      <xdr:row>42</xdr:row>
      <xdr:rowOff>43191</xdr:rowOff>
    </xdr:to>
    <xdr:grpSp>
      <xdr:nvGrpSpPr>
        <xdr:cNvPr id="3" name="Group 2">
          <a:extLst>
            <a:ext uri="{FF2B5EF4-FFF2-40B4-BE49-F238E27FC236}">
              <a16:creationId xmlns:a16="http://schemas.microsoft.com/office/drawing/2014/main" id="{2445680D-7161-443C-AAB3-B4DCD2E618D8}"/>
            </a:ext>
          </a:extLst>
        </xdr:cNvPr>
        <xdr:cNvGrpSpPr/>
      </xdr:nvGrpSpPr>
      <xdr:grpSpPr>
        <a:xfrm>
          <a:off x="6768191" y="1936741"/>
          <a:ext cx="4069894" cy="5031125"/>
          <a:chOff x="7628098" y="2645832"/>
          <a:chExt cx="3693005" cy="4932700"/>
        </a:xfrm>
      </xdr:grpSpPr>
      <xdr:sp macro="" textlink="">
        <xdr:nvSpPr>
          <xdr:cNvPr id="53" name="241 Rectángulo redondeado">
            <a:extLst>
              <a:ext uri="{FF2B5EF4-FFF2-40B4-BE49-F238E27FC236}">
                <a16:creationId xmlns:a16="http://schemas.microsoft.com/office/drawing/2014/main" id="{00000000-0008-0000-0300-000035000000}"/>
              </a:ext>
            </a:extLst>
          </xdr:cNvPr>
          <xdr:cNvSpPr/>
        </xdr:nvSpPr>
        <xdr:spPr bwMode="auto">
          <a:xfrm>
            <a:off x="7628098" y="2645832"/>
            <a:ext cx="2112055" cy="4348268"/>
          </a:xfrm>
          <a:prstGeom prst="roundRect">
            <a:avLst>
              <a:gd name="adj" fmla="val 6275"/>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endParaRPr lang="es-ES"/>
          </a:p>
        </xdr:txBody>
      </xdr:sp>
      <xdr:sp macro="" textlink="">
        <xdr:nvSpPr>
          <xdr:cNvPr id="52" name="166940 Rectángulo redondeado">
            <a:extLst>
              <a:ext uri="{FF2B5EF4-FFF2-40B4-BE49-F238E27FC236}">
                <a16:creationId xmlns:a16="http://schemas.microsoft.com/office/drawing/2014/main" id="{00000000-0008-0000-0300-000034000000}"/>
              </a:ext>
            </a:extLst>
          </xdr:cNvPr>
          <xdr:cNvSpPr/>
        </xdr:nvSpPr>
        <xdr:spPr bwMode="auto">
          <a:xfrm>
            <a:off x="7770878" y="2785423"/>
            <a:ext cx="1919278" cy="371971"/>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es-AR" sz="1100" b="1" i="1">
                <a:latin typeface="Arial" panose="020B0604020202020204" pitchFamily="34" charset="0"/>
                <a:cs typeface="Arial" panose="020B0604020202020204" pitchFamily="34" charset="0"/>
              </a:rPr>
              <a:t>MALE ONLY FOR FIELD</a:t>
            </a:r>
            <a:r>
              <a:rPr lang="es-AR" sz="1100" b="1" i="1" baseline="0">
                <a:latin typeface="Arial" panose="020B0604020202020204" pitchFamily="34" charset="0"/>
                <a:cs typeface="Arial" panose="020B0604020202020204" pitchFamily="34" charset="0"/>
              </a:rPr>
              <a:t> RELEASES</a:t>
            </a:r>
            <a:endParaRPr lang="es-AR" sz="1100" b="1" i="1">
              <a:latin typeface="Arial" panose="020B0604020202020204" pitchFamily="34" charset="0"/>
              <a:cs typeface="Arial" panose="020B0604020202020204" pitchFamily="34" charset="0"/>
            </a:endParaRPr>
          </a:p>
        </xdr:txBody>
      </xdr:sp>
      <xdr:sp macro="" textlink="">
        <xdr:nvSpPr>
          <xdr:cNvPr id="135" name="37 Rectángulo redondeado">
            <a:extLst>
              <a:ext uri="{FF2B5EF4-FFF2-40B4-BE49-F238E27FC236}">
                <a16:creationId xmlns:a16="http://schemas.microsoft.com/office/drawing/2014/main" id="{9AB692D0-A8E1-4487-BC10-2D99998D42A2}"/>
              </a:ext>
            </a:extLst>
          </xdr:cNvPr>
          <xdr:cNvSpPr/>
        </xdr:nvSpPr>
        <xdr:spPr bwMode="auto">
          <a:xfrm>
            <a:off x="7784885" y="7310369"/>
            <a:ext cx="1620000" cy="179482"/>
          </a:xfrm>
          <a:prstGeom prst="roundRect">
            <a:avLst/>
          </a:prstGeom>
          <a:solidFill>
            <a:schemeClr val="accent2">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Field releasing</a:t>
            </a:r>
            <a:endParaRPr lang="es-AR">
              <a:effectLst/>
              <a:latin typeface="Arial" panose="020B0604020202020204" pitchFamily="34" charset="0"/>
              <a:cs typeface="Arial" panose="020B0604020202020204" pitchFamily="34" charset="0"/>
            </a:endParaRPr>
          </a:p>
        </xdr:txBody>
      </xdr:sp>
      <xdr:cxnSp macro="">
        <xdr:nvCxnSpPr>
          <xdr:cNvPr id="136" name="72 Conector recto de flecha">
            <a:extLst>
              <a:ext uri="{FF2B5EF4-FFF2-40B4-BE49-F238E27FC236}">
                <a16:creationId xmlns:a16="http://schemas.microsoft.com/office/drawing/2014/main" id="{ADE1B619-3610-4D80-829D-821F0A7009EC}"/>
              </a:ext>
            </a:extLst>
          </xdr:cNvPr>
          <xdr:cNvCxnSpPr>
            <a:cxnSpLocks noChangeShapeType="1"/>
            <a:stCxn id="296" idx="2"/>
            <a:endCxn id="135" idx="0"/>
          </xdr:cNvCxnSpPr>
        </xdr:nvCxnSpPr>
        <xdr:spPr bwMode="auto">
          <a:xfrm>
            <a:off x="8588535" y="6825568"/>
            <a:ext cx="6350" cy="484801"/>
          </a:xfrm>
          <a:prstGeom prst="straightConnector1">
            <a:avLst/>
          </a:prstGeom>
          <a:noFill/>
          <a:ln w="25400" algn="ctr">
            <a:solidFill>
              <a:srgbClr val="00B050"/>
            </a:solidFill>
            <a:prstDash val="sysDash"/>
            <a:round/>
            <a:headEnd/>
            <a:tailEnd type="arrow" w="med" len="med"/>
          </a:ln>
        </xdr:spPr>
      </xdr:cxnSp>
      <xdr:sp macro="" textlink="">
        <xdr:nvSpPr>
          <xdr:cNvPr id="137" name="37 Rectángulo redondeado">
            <a:extLst>
              <a:ext uri="{FF2B5EF4-FFF2-40B4-BE49-F238E27FC236}">
                <a16:creationId xmlns:a16="http://schemas.microsoft.com/office/drawing/2014/main" id="{AD49B270-D388-4F88-A5F4-13E6CA471084}"/>
              </a:ext>
            </a:extLst>
          </xdr:cNvPr>
          <xdr:cNvSpPr/>
        </xdr:nvSpPr>
        <xdr:spPr bwMode="auto">
          <a:xfrm>
            <a:off x="10094931" y="7219568"/>
            <a:ext cx="801783" cy="358964"/>
          </a:xfrm>
          <a:prstGeom prst="roundRect">
            <a:avLst/>
          </a:prstGeom>
          <a:solidFill>
            <a:schemeClr val="accent2">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Field monitoring</a:t>
            </a:r>
            <a:endParaRPr lang="es-AR" sz="1100" baseline="0">
              <a:effectLst/>
              <a:latin typeface="Arial" panose="020B0604020202020204" pitchFamily="34" charset="0"/>
              <a:ea typeface="+mn-ea"/>
              <a:cs typeface="Arial" panose="020B0604020202020204" pitchFamily="34" charset="0"/>
            </a:endParaRPr>
          </a:p>
        </xdr:txBody>
      </xdr:sp>
      <xdr:cxnSp macro="">
        <xdr:nvCxnSpPr>
          <xdr:cNvPr id="138" name="63 Conector recto de flecha">
            <a:extLst>
              <a:ext uri="{FF2B5EF4-FFF2-40B4-BE49-F238E27FC236}">
                <a16:creationId xmlns:a16="http://schemas.microsoft.com/office/drawing/2014/main" id="{E4E073CA-9373-4088-90D7-3232C17BE549}"/>
              </a:ext>
            </a:extLst>
          </xdr:cNvPr>
          <xdr:cNvCxnSpPr>
            <a:cxnSpLocks noChangeShapeType="1"/>
            <a:stCxn id="137" idx="1"/>
            <a:endCxn id="135" idx="3"/>
          </xdr:cNvCxnSpPr>
        </xdr:nvCxnSpPr>
        <xdr:spPr bwMode="auto">
          <a:xfrm flipH="1">
            <a:off x="9404885" y="7399050"/>
            <a:ext cx="690046" cy="1060"/>
          </a:xfrm>
          <a:prstGeom prst="straightConnector1">
            <a:avLst/>
          </a:prstGeom>
          <a:noFill/>
          <a:ln w="25400" algn="ctr">
            <a:solidFill>
              <a:srgbClr val="00B050"/>
            </a:solidFill>
            <a:prstDash val="sysDash"/>
            <a:round/>
            <a:headEnd/>
            <a:tailEnd type="arrow" w="med" len="med"/>
          </a:ln>
        </xdr:spPr>
      </xdr:cxnSp>
      <xdr:sp macro="" textlink="">
        <xdr:nvSpPr>
          <xdr:cNvPr id="139" name="38 Rectángulo redondeado">
            <a:extLst>
              <a:ext uri="{FF2B5EF4-FFF2-40B4-BE49-F238E27FC236}">
                <a16:creationId xmlns:a16="http://schemas.microsoft.com/office/drawing/2014/main" id="{0170976A-55DA-409F-A779-0D7857F25D78}"/>
              </a:ext>
            </a:extLst>
          </xdr:cNvPr>
          <xdr:cNvSpPr/>
        </xdr:nvSpPr>
        <xdr:spPr bwMode="auto">
          <a:xfrm>
            <a:off x="7778535" y="4142804"/>
            <a:ext cx="1620000" cy="358964"/>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Loading male only cages with male pupae</a:t>
            </a:r>
          </a:p>
        </xdr:txBody>
      </xdr:sp>
      <xdr:sp macro="" textlink="">
        <xdr:nvSpPr>
          <xdr:cNvPr id="140" name="38 Rectángulo redondeado">
            <a:extLst>
              <a:ext uri="{FF2B5EF4-FFF2-40B4-BE49-F238E27FC236}">
                <a16:creationId xmlns:a16="http://schemas.microsoft.com/office/drawing/2014/main" id="{074974A3-0BA8-4BCC-B55F-3571920C9BFC}"/>
              </a:ext>
            </a:extLst>
          </xdr:cNvPr>
          <xdr:cNvSpPr/>
        </xdr:nvSpPr>
        <xdr:spPr bwMode="auto">
          <a:xfrm>
            <a:off x="7778535" y="5883117"/>
            <a:ext cx="1620000" cy="358964"/>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Packing males for release</a:t>
            </a:r>
          </a:p>
        </xdr:txBody>
      </xdr:sp>
      <xdr:sp macro="" textlink="">
        <xdr:nvSpPr>
          <xdr:cNvPr id="141" name="38 Rectángulo redondeado">
            <a:extLst>
              <a:ext uri="{FF2B5EF4-FFF2-40B4-BE49-F238E27FC236}">
                <a16:creationId xmlns:a16="http://schemas.microsoft.com/office/drawing/2014/main" id="{92235DEF-E4F0-477A-96D0-A3AD9FAB4A47}"/>
              </a:ext>
            </a:extLst>
          </xdr:cNvPr>
          <xdr:cNvSpPr/>
        </xdr:nvSpPr>
        <xdr:spPr bwMode="auto">
          <a:xfrm>
            <a:off x="7778535" y="4733405"/>
            <a:ext cx="1620000" cy="359833"/>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s-AR" sz="1100">
                <a:effectLst/>
                <a:latin typeface="Arial" panose="020B0604020202020204" pitchFamily="34" charset="0"/>
                <a:ea typeface="+mn-ea"/>
                <a:cs typeface="Arial" panose="020B0604020202020204" pitchFamily="34" charset="0"/>
              </a:rPr>
              <a:t>Feeding</a:t>
            </a:r>
            <a:r>
              <a:rPr lang="es-AR" sz="1100" baseline="0">
                <a:effectLst/>
                <a:latin typeface="Arial" panose="020B0604020202020204" pitchFamily="34" charset="0"/>
                <a:ea typeface="+mn-ea"/>
                <a:cs typeface="Arial" panose="020B0604020202020204" pitchFamily="34" charset="0"/>
              </a:rPr>
              <a:t> until maturation</a:t>
            </a:r>
            <a:endParaRPr lang="es-AR" sz="1100">
              <a:effectLst/>
              <a:latin typeface="Arial" panose="020B0604020202020204" pitchFamily="34" charset="0"/>
              <a:ea typeface="+mn-ea"/>
              <a:cs typeface="Arial" panose="020B0604020202020204" pitchFamily="34" charset="0"/>
            </a:endParaRPr>
          </a:p>
        </xdr:txBody>
      </xdr:sp>
      <xdr:sp macro="" textlink="">
        <xdr:nvSpPr>
          <xdr:cNvPr id="142" name="38 Rectángulo redondeado">
            <a:extLst>
              <a:ext uri="{FF2B5EF4-FFF2-40B4-BE49-F238E27FC236}">
                <a16:creationId xmlns:a16="http://schemas.microsoft.com/office/drawing/2014/main" id="{03AA1590-F2CE-4C5C-95E9-A71F653A9745}"/>
              </a:ext>
            </a:extLst>
          </xdr:cNvPr>
          <xdr:cNvSpPr/>
        </xdr:nvSpPr>
        <xdr:spPr bwMode="auto">
          <a:xfrm>
            <a:off x="7778535" y="5310212"/>
            <a:ext cx="1620000" cy="358964"/>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Chilling and collecting</a:t>
            </a:r>
            <a:r>
              <a:rPr lang="es-AR" sz="1100" baseline="0">
                <a:effectLst/>
                <a:latin typeface="Arial" panose="020B0604020202020204" pitchFamily="34" charset="0"/>
                <a:ea typeface="+mn-ea"/>
                <a:cs typeface="Arial" panose="020B0604020202020204" pitchFamily="34" charset="0"/>
              </a:rPr>
              <a:t> males</a:t>
            </a:r>
            <a:endParaRPr lang="es-AR" sz="1100">
              <a:effectLst/>
              <a:latin typeface="Arial" panose="020B0604020202020204" pitchFamily="34" charset="0"/>
              <a:ea typeface="+mn-ea"/>
              <a:cs typeface="Arial" panose="020B0604020202020204" pitchFamily="34" charset="0"/>
            </a:endParaRPr>
          </a:p>
        </xdr:txBody>
      </xdr:sp>
      <xdr:cxnSp macro="">
        <xdr:nvCxnSpPr>
          <xdr:cNvPr id="143" name="18 Conector recto de flecha">
            <a:extLst>
              <a:ext uri="{FF2B5EF4-FFF2-40B4-BE49-F238E27FC236}">
                <a16:creationId xmlns:a16="http://schemas.microsoft.com/office/drawing/2014/main" id="{BBF9453D-7DE6-481C-B4A4-FA19963853F0}"/>
              </a:ext>
            </a:extLst>
          </xdr:cNvPr>
          <xdr:cNvCxnSpPr>
            <a:cxnSpLocks noChangeShapeType="1"/>
            <a:stCxn id="139" idx="2"/>
            <a:endCxn id="141" idx="0"/>
          </xdr:cNvCxnSpPr>
        </xdr:nvCxnSpPr>
        <xdr:spPr bwMode="auto">
          <a:xfrm>
            <a:off x="8588535" y="4501767"/>
            <a:ext cx="0" cy="231637"/>
          </a:xfrm>
          <a:prstGeom prst="straightConnector1">
            <a:avLst/>
          </a:prstGeom>
          <a:noFill/>
          <a:ln w="25400" algn="ctr">
            <a:solidFill>
              <a:srgbClr val="00B050"/>
            </a:solidFill>
            <a:round/>
            <a:headEnd/>
            <a:tailEnd type="arrow" w="med" len="med"/>
          </a:ln>
        </xdr:spPr>
      </xdr:cxnSp>
      <xdr:cxnSp macro="">
        <xdr:nvCxnSpPr>
          <xdr:cNvPr id="144" name="18 Conector recto de flecha">
            <a:extLst>
              <a:ext uri="{FF2B5EF4-FFF2-40B4-BE49-F238E27FC236}">
                <a16:creationId xmlns:a16="http://schemas.microsoft.com/office/drawing/2014/main" id="{3B234649-57B0-4691-A165-34095485DBAA}"/>
              </a:ext>
            </a:extLst>
          </xdr:cNvPr>
          <xdr:cNvCxnSpPr>
            <a:cxnSpLocks noChangeShapeType="1"/>
            <a:stCxn id="141" idx="2"/>
            <a:endCxn id="142" idx="0"/>
          </xdr:cNvCxnSpPr>
        </xdr:nvCxnSpPr>
        <xdr:spPr bwMode="auto">
          <a:xfrm>
            <a:off x="8588535" y="5093238"/>
            <a:ext cx="0" cy="216974"/>
          </a:xfrm>
          <a:prstGeom prst="straightConnector1">
            <a:avLst/>
          </a:prstGeom>
          <a:noFill/>
          <a:ln w="25400" algn="ctr">
            <a:solidFill>
              <a:srgbClr val="00B050"/>
            </a:solidFill>
            <a:round/>
            <a:headEnd/>
            <a:tailEnd type="arrow" w="med" len="med"/>
          </a:ln>
        </xdr:spPr>
      </xdr:cxnSp>
      <xdr:cxnSp macro="">
        <xdr:nvCxnSpPr>
          <xdr:cNvPr id="145" name="18 Conector recto de flecha">
            <a:extLst>
              <a:ext uri="{FF2B5EF4-FFF2-40B4-BE49-F238E27FC236}">
                <a16:creationId xmlns:a16="http://schemas.microsoft.com/office/drawing/2014/main" id="{B9FC5404-A1D5-4376-B489-F6DD4F5A8FCB}"/>
              </a:ext>
            </a:extLst>
          </xdr:cNvPr>
          <xdr:cNvCxnSpPr>
            <a:cxnSpLocks noChangeShapeType="1"/>
            <a:stCxn id="142" idx="2"/>
            <a:endCxn id="140" idx="0"/>
          </xdr:cNvCxnSpPr>
        </xdr:nvCxnSpPr>
        <xdr:spPr bwMode="auto">
          <a:xfrm>
            <a:off x="8588535" y="5669175"/>
            <a:ext cx="0" cy="213942"/>
          </a:xfrm>
          <a:prstGeom prst="straightConnector1">
            <a:avLst/>
          </a:prstGeom>
          <a:noFill/>
          <a:ln w="25400" algn="ctr">
            <a:solidFill>
              <a:srgbClr val="00B050"/>
            </a:solidFill>
            <a:round/>
            <a:headEnd/>
            <a:tailEnd type="arrow" w="med" len="med"/>
          </a:ln>
        </xdr:spPr>
      </xdr:cxnSp>
      <xdr:sp macro="" textlink="">
        <xdr:nvSpPr>
          <xdr:cNvPr id="146" name="38 Rectángulo redondeado">
            <a:extLst>
              <a:ext uri="{FF2B5EF4-FFF2-40B4-BE49-F238E27FC236}">
                <a16:creationId xmlns:a16="http://schemas.microsoft.com/office/drawing/2014/main" id="{EE1ED1D1-88CC-4EC5-8B66-7D8B1BF5B9F1}"/>
              </a:ext>
            </a:extLst>
          </xdr:cNvPr>
          <xdr:cNvSpPr/>
        </xdr:nvSpPr>
        <xdr:spPr bwMode="auto">
          <a:xfrm>
            <a:off x="7778535" y="3250126"/>
            <a:ext cx="1620000" cy="17948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Sex pupae</a:t>
            </a:r>
          </a:p>
        </xdr:txBody>
      </xdr:sp>
      <xdr:cxnSp macro="">
        <xdr:nvCxnSpPr>
          <xdr:cNvPr id="147" name="18 Conector recto de flecha">
            <a:extLst>
              <a:ext uri="{FF2B5EF4-FFF2-40B4-BE49-F238E27FC236}">
                <a16:creationId xmlns:a16="http://schemas.microsoft.com/office/drawing/2014/main" id="{02B6C812-5573-45F7-8F91-3159FDE5A390}"/>
              </a:ext>
            </a:extLst>
          </xdr:cNvPr>
          <xdr:cNvCxnSpPr>
            <a:cxnSpLocks noChangeShapeType="1"/>
            <a:stCxn id="306" idx="2"/>
            <a:endCxn id="139" idx="0"/>
          </xdr:cNvCxnSpPr>
        </xdr:nvCxnSpPr>
        <xdr:spPr bwMode="auto">
          <a:xfrm>
            <a:off x="8588535" y="3981989"/>
            <a:ext cx="0" cy="160815"/>
          </a:xfrm>
          <a:prstGeom prst="straightConnector1">
            <a:avLst/>
          </a:prstGeom>
          <a:noFill/>
          <a:ln w="25400" algn="ctr">
            <a:solidFill>
              <a:srgbClr val="FF0000"/>
            </a:solidFill>
            <a:round/>
            <a:headEnd/>
            <a:tailEnd type="arrow" w="med" len="med"/>
          </a:ln>
        </xdr:spPr>
      </xdr:cxnSp>
      <xdr:sp macro="" textlink="">
        <xdr:nvSpPr>
          <xdr:cNvPr id="148" name="38 Rectángulo redondeado">
            <a:extLst>
              <a:ext uri="{FF2B5EF4-FFF2-40B4-BE49-F238E27FC236}">
                <a16:creationId xmlns:a16="http://schemas.microsoft.com/office/drawing/2014/main" id="{31BC7958-6F1C-4C1F-B43E-B09175A09C1D}"/>
              </a:ext>
            </a:extLst>
          </xdr:cNvPr>
          <xdr:cNvSpPr/>
        </xdr:nvSpPr>
        <xdr:spPr bwMode="auto">
          <a:xfrm>
            <a:off x="10170226" y="3138228"/>
            <a:ext cx="1150877" cy="389607"/>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s-AR" sz="1100">
                <a:effectLst/>
                <a:latin typeface="Arial" panose="020B0604020202020204" pitchFamily="34" charset="0"/>
                <a:ea typeface="+mn-ea"/>
                <a:cs typeface="Arial" panose="020B0604020202020204" pitchFamily="34" charset="0"/>
              </a:rPr>
              <a:t>Elimination of female pupae </a:t>
            </a:r>
          </a:p>
        </xdr:txBody>
      </xdr:sp>
      <xdr:cxnSp macro="">
        <xdr:nvCxnSpPr>
          <xdr:cNvPr id="149" name="18 Conector recto de flecha">
            <a:extLst>
              <a:ext uri="{FF2B5EF4-FFF2-40B4-BE49-F238E27FC236}">
                <a16:creationId xmlns:a16="http://schemas.microsoft.com/office/drawing/2014/main" id="{0E30857B-A06D-4504-BCA9-E32D1A0906B0}"/>
              </a:ext>
            </a:extLst>
          </xdr:cNvPr>
          <xdr:cNvCxnSpPr>
            <a:cxnSpLocks noChangeShapeType="1"/>
            <a:stCxn id="146" idx="3"/>
            <a:endCxn id="148" idx="1"/>
          </xdr:cNvCxnSpPr>
        </xdr:nvCxnSpPr>
        <xdr:spPr bwMode="auto">
          <a:xfrm flipV="1">
            <a:off x="9398534" y="3333032"/>
            <a:ext cx="771691" cy="6834"/>
          </a:xfrm>
          <a:prstGeom prst="straightConnector1">
            <a:avLst/>
          </a:prstGeom>
          <a:noFill/>
          <a:ln w="25400" algn="ctr">
            <a:solidFill>
              <a:srgbClr val="FF0000"/>
            </a:solidFill>
            <a:round/>
            <a:headEnd/>
            <a:tailEnd type="arrow" w="med" len="med"/>
          </a:ln>
        </xdr:spPr>
      </xdr:cxnSp>
      <xdr:sp macro="" textlink="">
        <xdr:nvSpPr>
          <xdr:cNvPr id="296" name="38 Rectángulo redondeado">
            <a:extLst>
              <a:ext uri="{FF2B5EF4-FFF2-40B4-BE49-F238E27FC236}">
                <a16:creationId xmlns:a16="http://schemas.microsoft.com/office/drawing/2014/main" id="{6648C077-563F-4A0E-A740-1F1883CF510E}"/>
              </a:ext>
            </a:extLst>
          </xdr:cNvPr>
          <xdr:cNvSpPr/>
        </xdr:nvSpPr>
        <xdr:spPr bwMode="auto">
          <a:xfrm>
            <a:off x="7778535" y="6466605"/>
            <a:ext cx="1620000" cy="358964"/>
          </a:xfrm>
          <a:prstGeom prst="roundRect">
            <a:avLst/>
          </a:prstGeom>
          <a:solidFill>
            <a:schemeClr val="accent1">
              <a:lumMod val="20000"/>
              <a:lumOff val="80000"/>
            </a:schemeClr>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spAutoFit/>
          </a:bodyPr>
          <a:lstStyle/>
          <a:p>
            <a:pPr algn="ctr"/>
            <a:r>
              <a:rPr lang="es-AR" sz="1100">
                <a:effectLst/>
                <a:latin typeface="Arial" panose="020B0604020202020204" pitchFamily="34" charset="0"/>
                <a:ea typeface="+mn-ea"/>
                <a:cs typeface="Arial" panose="020B0604020202020204" pitchFamily="34" charset="0"/>
              </a:rPr>
              <a:t>Irradiation of packed adult males</a:t>
            </a:r>
          </a:p>
        </xdr:txBody>
      </xdr:sp>
      <xdr:cxnSp macro="">
        <xdr:nvCxnSpPr>
          <xdr:cNvPr id="297" name="18 Conector recto de flecha">
            <a:extLst>
              <a:ext uri="{FF2B5EF4-FFF2-40B4-BE49-F238E27FC236}">
                <a16:creationId xmlns:a16="http://schemas.microsoft.com/office/drawing/2014/main" id="{C4FD43A7-97A3-42D5-808E-6E641585241C}"/>
              </a:ext>
            </a:extLst>
          </xdr:cNvPr>
          <xdr:cNvCxnSpPr>
            <a:cxnSpLocks noChangeShapeType="1"/>
            <a:stCxn id="140" idx="2"/>
            <a:endCxn id="296" idx="0"/>
          </xdr:cNvCxnSpPr>
        </xdr:nvCxnSpPr>
        <xdr:spPr bwMode="auto">
          <a:xfrm>
            <a:off x="8588535" y="6242081"/>
            <a:ext cx="0" cy="224524"/>
          </a:xfrm>
          <a:prstGeom prst="straightConnector1">
            <a:avLst/>
          </a:prstGeom>
          <a:noFill/>
          <a:ln w="25400" algn="ctr">
            <a:solidFill>
              <a:srgbClr val="00B050"/>
            </a:solidFill>
            <a:round/>
            <a:headEnd/>
            <a:tailEnd type="arrow" w="med" len="med"/>
          </a:ln>
        </xdr:spPr>
      </xdr:cxnSp>
      <xdr:sp macro="" textlink="">
        <xdr:nvSpPr>
          <xdr:cNvPr id="306" name="38 Rectángulo redondeado">
            <a:extLst>
              <a:ext uri="{FF2B5EF4-FFF2-40B4-BE49-F238E27FC236}">
                <a16:creationId xmlns:a16="http://schemas.microsoft.com/office/drawing/2014/main" id="{3D9E4BF6-04E0-4182-BB4B-6D82F1D08E3E}"/>
              </a:ext>
            </a:extLst>
          </xdr:cNvPr>
          <xdr:cNvSpPr/>
        </xdr:nvSpPr>
        <xdr:spPr bwMode="auto">
          <a:xfrm>
            <a:off x="7778535" y="3590630"/>
            <a:ext cx="1620000" cy="391358"/>
          </a:xfrm>
          <a:prstGeom prst="roundRect">
            <a:avLst/>
          </a:prstGeom>
          <a:solidFill>
            <a:schemeClr val="accent1">
              <a:lumMod val="20000"/>
              <a:lumOff val="80000"/>
            </a:schemeClr>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noAutofit/>
          </a:bodyPr>
          <a:lstStyle/>
          <a:p>
            <a:pPr algn="ctr"/>
            <a:r>
              <a:rPr lang="es-AR" sz="1100">
                <a:effectLst/>
                <a:latin typeface="Arial" panose="020B0604020202020204" pitchFamily="34" charset="0"/>
                <a:ea typeface="+mn-ea"/>
                <a:cs typeface="Arial" panose="020B0604020202020204" pitchFamily="34" charset="0"/>
              </a:rPr>
              <a:t>Irradiation of male</a:t>
            </a:r>
            <a:r>
              <a:rPr lang="es-AR" sz="1100" baseline="0">
                <a:effectLst/>
                <a:latin typeface="Arial" panose="020B0604020202020204" pitchFamily="34" charset="0"/>
                <a:ea typeface="+mn-ea"/>
                <a:cs typeface="Arial" panose="020B0604020202020204" pitchFamily="34" charset="0"/>
              </a:rPr>
              <a:t> pupae</a:t>
            </a:r>
            <a:endParaRPr lang="es-AR" sz="1100">
              <a:effectLst/>
              <a:latin typeface="Arial" panose="020B0604020202020204" pitchFamily="34" charset="0"/>
              <a:ea typeface="+mn-ea"/>
              <a:cs typeface="Arial" panose="020B0604020202020204" pitchFamily="34" charset="0"/>
            </a:endParaRPr>
          </a:p>
        </xdr:txBody>
      </xdr:sp>
      <xdr:cxnSp macro="">
        <xdr:nvCxnSpPr>
          <xdr:cNvPr id="307" name="18 Conector recto de flecha">
            <a:extLst>
              <a:ext uri="{FF2B5EF4-FFF2-40B4-BE49-F238E27FC236}">
                <a16:creationId xmlns:a16="http://schemas.microsoft.com/office/drawing/2014/main" id="{D90F1935-2BF1-4688-8DFC-EE75D24AF848}"/>
              </a:ext>
            </a:extLst>
          </xdr:cNvPr>
          <xdr:cNvCxnSpPr>
            <a:cxnSpLocks noChangeShapeType="1"/>
            <a:stCxn id="146" idx="2"/>
            <a:endCxn id="306" idx="0"/>
          </xdr:cNvCxnSpPr>
        </xdr:nvCxnSpPr>
        <xdr:spPr bwMode="auto">
          <a:xfrm>
            <a:off x="8588535" y="3429607"/>
            <a:ext cx="0" cy="161023"/>
          </a:xfrm>
          <a:prstGeom prst="straightConnector1">
            <a:avLst/>
          </a:prstGeom>
          <a:noFill/>
          <a:ln w="25400" algn="ctr">
            <a:solidFill>
              <a:srgbClr val="FF0000"/>
            </a:solidFill>
            <a:round/>
            <a:headEnd/>
            <a:tailEnd type="arrow" w="med" len="med"/>
          </a:ln>
        </xdr:spPr>
      </xdr:cxnSp>
    </xdr:grpSp>
    <xdr:clientData/>
  </xdr:twoCellAnchor>
  <xdr:twoCellAnchor>
    <xdr:from>
      <xdr:col>5</xdr:col>
      <xdr:colOff>743793</xdr:colOff>
      <xdr:row>19</xdr:row>
      <xdr:rowOff>0</xdr:rowOff>
    </xdr:from>
    <xdr:to>
      <xdr:col>8</xdr:col>
      <xdr:colOff>1864179</xdr:colOff>
      <xdr:row>19</xdr:row>
      <xdr:rowOff>8960</xdr:rowOff>
    </xdr:to>
    <xdr:cxnSp macro="">
      <xdr:nvCxnSpPr>
        <xdr:cNvPr id="125" name="258 Conector recto de flecha">
          <a:extLst>
            <a:ext uri="{FF2B5EF4-FFF2-40B4-BE49-F238E27FC236}">
              <a16:creationId xmlns:a16="http://schemas.microsoft.com/office/drawing/2014/main" id="{EA95410E-828A-456A-A6D5-CEF0135C186E}"/>
            </a:ext>
          </a:extLst>
        </xdr:cNvPr>
        <xdr:cNvCxnSpPr>
          <a:cxnSpLocks noChangeShapeType="1"/>
          <a:stCxn id="109" idx="3"/>
        </xdr:cNvCxnSpPr>
      </xdr:nvCxnSpPr>
      <xdr:spPr bwMode="auto">
        <a:xfrm flipV="1">
          <a:off x="4703472" y="3238500"/>
          <a:ext cx="2726028" cy="8960"/>
        </a:xfrm>
        <a:prstGeom prst="straightConnector1">
          <a:avLst/>
        </a:prstGeom>
        <a:noFill/>
        <a:ln w="25400" algn="ctr">
          <a:solidFill>
            <a:srgbClr val="FF0000"/>
          </a:solidFill>
          <a:round/>
          <a:headEnd type="none" w="med" len="med"/>
          <a:tailEnd type="none" w="med" len="med"/>
        </a:ln>
      </xdr:spPr>
    </xdr:cxnSp>
    <xdr:clientData/>
  </xdr:twoCellAnchor>
  <xdr:twoCellAnchor>
    <xdr:from>
      <xdr:col>3</xdr:col>
      <xdr:colOff>120588</xdr:colOff>
      <xdr:row>6</xdr:row>
      <xdr:rowOff>41287</xdr:rowOff>
    </xdr:from>
    <xdr:to>
      <xdr:col>3</xdr:col>
      <xdr:colOff>480588</xdr:colOff>
      <xdr:row>6</xdr:row>
      <xdr:rowOff>41287</xdr:rowOff>
    </xdr:to>
    <xdr:cxnSp macro="">
      <xdr:nvCxnSpPr>
        <xdr:cNvPr id="98" name="Straight Connector 97">
          <a:extLst>
            <a:ext uri="{FF2B5EF4-FFF2-40B4-BE49-F238E27FC236}">
              <a16:creationId xmlns:a16="http://schemas.microsoft.com/office/drawing/2014/main" id="{065B7D4A-0B29-4AEF-9D24-5666DB5DEED0}"/>
            </a:ext>
          </a:extLst>
        </xdr:cNvPr>
        <xdr:cNvCxnSpPr/>
      </xdr:nvCxnSpPr>
      <xdr:spPr bwMode="auto">
        <a:xfrm>
          <a:off x="2733159" y="1157073"/>
          <a:ext cx="360000" cy="0"/>
        </a:xfrm>
        <a:prstGeom prst="line">
          <a:avLst/>
        </a:prstGeom>
        <a:gradFill rotWithShape="0">
          <a:gsLst>
            <a:gs pos="0">
              <a:srgbClr val="00FF00"/>
            </a:gs>
            <a:gs pos="50000">
              <a:srgbClr val="FFFF99"/>
            </a:gs>
            <a:gs pos="100000">
              <a:srgbClr val="00FF00"/>
            </a:gs>
          </a:gsLst>
          <a:lin ang="5400000" scaled="1"/>
        </a:gradFill>
        <a:ln w="28575" cap="flat" cmpd="sng" algn="ctr">
          <a:solidFill>
            <a:srgbClr val="000000"/>
          </a:solidFill>
          <a:prstDash val="solid"/>
          <a:round/>
          <a:headEnd type="none" w="med" len="med"/>
          <a:tailEnd type="arrow" w="med" len="med"/>
        </a:ln>
        <a:effectLst/>
      </xdr:spPr>
    </xdr:cxnSp>
    <xdr:clientData/>
  </xdr:twoCellAnchor>
  <xdr:twoCellAnchor>
    <xdr:from>
      <xdr:col>3</xdr:col>
      <xdr:colOff>122466</xdr:colOff>
      <xdr:row>6</xdr:row>
      <xdr:rowOff>40822</xdr:rowOff>
    </xdr:from>
    <xdr:to>
      <xdr:col>3</xdr:col>
      <xdr:colOff>122466</xdr:colOff>
      <xdr:row>36</xdr:row>
      <xdr:rowOff>122464</xdr:rowOff>
    </xdr:to>
    <xdr:cxnSp macro="">
      <xdr:nvCxnSpPr>
        <xdr:cNvPr id="99" name="Straight Connector 98">
          <a:extLst>
            <a:ext uri="{FF2B5EF4-FFF2-40B4-BE49-F238E27FC236}">
              <a16:creationId xmlns:a16="http://schemas.microsoft.com/office/drawing/2014/main" id="{E7CB4F2E-AC17-4034-8497-56F36E1C8706}"/>
            </a:ext>
          </a:extLst>
        </xdr:cNvPr>
        <xdr:cNvCxnSpPr/>
      </xdr:nvCxnSpPr>
      <xdr:spPr bwMode="auto">
        <a:xfrm flipV="1">
          <a:off x="2735037" y="1156608"/>
          <a:ext cx="0" cy="4980213"/>
        </a:xfrm>
        <a:prstGeom prst="line">
          <a:avLst/>
        </a:prstGeom>
        <a:gradFill rotWithShape="0">
          <a:gsLst>
            <a:gs pos="0">
              <a:srgbClr val="00FF00"/>
            </a:gs>
            <a:gs pos="50000">
              <a:srgbClr val="FFFF99"/>
            </a:gs>
            <a:gs pos="100000">
              <a:srgbClr val="00FF00"/>
            </a:gs>
          </a:gsLst>
          <a:lin ang="5400000" scaled="1"/>
        </a:gradFill>
        <a:ln w="28575" cap="flat" cmpd="sng" algn="ctr">
          <a:solidFill>
            <a:srgbClr val="000000"/>
          </a:solidFill>
          <a:prstDash val="solid"/>
          <a:round/>
          <a:headEnd type="none" w="med" len="med"/>
          <a:tailEnd type="none" w="med" len="med"/>
        </a:ln>
        <a:effectLst/>
      </xdr:spPr>
    </xdr:cxnSp>
    <xdr:clientData/>
  </xdr:twoCellAnchor>
  <xdr:twoCellAnchor>
    <xdr:from>
      <xdr:col>8</xdr:col>
      <xdr:colOff>1875906</xdr:colOff>
      <xdr:row>15</xdr:row>
      <xdr:rowOff>97972</xdr:rowOff>
    </xdr:from>
    <xdr:to>
      <xdr:col>9</xdr:col>
      <xdr:colOff>262871</xdr:colOff>
      <xdr:row>15</xdr:row>
      <xdr:rowOff>97972</xdr:rowOff>
    </xdr:to>
    <xdr:cxnSp macro="">
      <xdr:nvCxnSpPr>
        <xdr:cNvPr id="104" name="258 Conector recto de flecha">
          <a:extLst>
            <a:ext uri="{FF2B5EF4-FFF2-40B4-BE49-F238E27FC236}">
              <a16:creationId xmlns:a16="http://schemas.microsoft.com/office/drawing/2014/main" id="{DD246BFF-89EB-4669-B2B0-DB742D5AA7CB}"/>
            </a:ext>
          </a:extLst>
        </xdr:cNvPr>
        <xdr:cNvCxnSpPr>
          <a:cxnSpLocks noChangeShapeType="1"/>
        </xdr:cNvCxnSpPr>
      </xdr:nvCxnSpPr>
      <xdr:spPr bwMode="auto">
        <a:xfrm flipV="1">
          <a:off x="7658942" y="2683329"/>
          <a:ext cx="360000" cy="0"/>
        </a:xfrm>
        <a:prstGeom prst="straightConnector1">
          <a:avLst/>
        </a:prstGeom>
        <a:noFill/>
        <a:ln w="25400" algn="ctr">
          <a:solidFill>
            <a:srgbClr val="FF0000"/>
          </a:solidFill>
          <a:round/>
          <a:headEnd/>
          <a:tailEnd type="arrow" w="med" len="med"/>
        </a:ln>
      </xdr:spPr>
    </xdr:cxnSp>
    <xdr:clientData/>
  </xdr:twoCellAnchor>
  <xdr:twoCellAnchor>
    <xdr:from>
      <xdr:col>8</xdr:col>
      <xdr:colOff>1891393</xdr:colOff>
      <xdr:row>15</xdr:row>
      <xdr:rowOff>95250</xdr:rowOff>
    </xdr:from>
    <xdr:to>
      <xdr:col>8</xdr:col>
      <xdr:colOff>1891393</xdr:colOff>
      <xdr:row>19</xdr:row>
      <xdr:rowOff>13607</xdr:rowOff>
    </xdr:to>
    <xdr:cxnSp macro="">
      <xdr:nvCxnSpPr>
        <xdr:cNvPr id="105" name="258 Conector recto de flecha">
          <a:extLst>
            <a:ext uri="{FF2B5EF4-FFF2-40B4-BE49-F238E27FC236}">
              <a16:creationId xmlns:a16="http://schemas.microsoft.com/office/drawing/2014/main" id="{51BD827F-3309-4786-8D12-C4C344ECA1EF}"/>
            </a:ext>
          </a:extLst>
        </xdr:cNvPr>
        <xdr:cNvCxnSpPr>
          <a:cxnSpLocks noChangeShapeType="1"/>
        </xdr:cNvCxnSpPr>
      </xdr:nvCxnSpPr>
      <xdr:spPr bwMode="auto">
        <a:xfrm>
          <a:off x="7456714" y="2680607"/>
          <a:ext cx="0" cy="571500"/>
        </a:xfrm>
        <a:prstGeom prst="straightConnector1">
          <a:avLst/>
        </a:prstGeom>
        <a:noFill/>
        <a:ln w="25400" algn="ctr">
          <a:solidFill>
            <a:srgbClr val="FF0000"/>
          </a:solidFill>
          <a:round/>
          <a:headEnd type="none" w="med" len="med"/>
          <a:tailEnd type="none" w="med" len="med"/>
        </a:ln>
      </xdr:spPr>
    </xdr:cxnSp>
    <xdr:clientData/>
  </xdr:twoCellAnchor>
  <xdr:oneCellAnchor>
    <xdr:from>
      <xdr:col>3</xdr:col>
      <xdr:colOff>473622</xdr:colOff>
      <xdr:row>35</xdr:row>
      <xdr:rowOff>97034</xdr:rowOff>
    </xdr:from>
    <xdr:ext cx="1620000" cy="378361"/>
    <xdr:sp macro="" textlink="">
      <xdr:nvSpPr>
        <xdr:cNvPr id="111" name="15 Rectángulo redondeado">
          <a:extLst>
            <a:ext uri="{FF2B5EF4-FFF2-40B4-BE49-F238E27FC236}">
              <a16:creationId xmlns:a16="http://schemas.microsoft.com/office/drawing/2014/main" id="{3579DED6-5DD4-439E-A03A-2122BA4037E0}"/>
            </a:ext>
          </a:extLst>
        </xdr:cNvPr>
        <xdr:cNvSpPr/>
      </xdr:nvSpPr>
      <xdr:spPr bwMode="auto">
        <a:xfrm>
          <a:off x="3086193" y="5948105"/>
          <a:ext cx="1620000" cy="378361"/>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AR" sz="1100">
              <a:effectLst/>
              <a:latin typeface="Arial" panose="020B0604020202020204" pitchFamily="34" charset="0"/>
              <a:ea typeface="+mn-ea"/>
              <a:cs typeface="Arial" panose="020B0604020202020204" pitchFamily="34" charset="0"/>
            </a:rPr>
            <a:t>Egg storage</a:t>
          </a:r>
          <a:endParaRPr lang="es-AR">
            <a:effectLst/>
            <a:latin typeface="Arial" panose="020B0604020202020204" pitchFamily="34" charset="0"/>
            <a:cs typeface="Arial" panose="020B0604020202020204" pitchFamily="34" charset="0"/>
          </a:endParaRPr>
        </a:p>
      </xdr:txBody>
    </xdr:sp>
    <xdr:clientData/>
  </xdr:oneCellAnchor>
  <xdr:twoCellAnchor>
    <xdr:from>
      <xdr:col>4</xdr:col>
      <xdr:colOff>518901</xdr:colOff>
      <xdr:row>33</xdr:row>
      <xdr:rowOff>132495</xdr:rowOff>
    </xdr:from>
    <xdr:to>
      <xdr:col>4</xdr:col>
      <xdr:colOff>521622</xdr:colOff>
      <xdr:row>35</xdr:row>
      <xdr:rowOff>97034</xdr:rowOff>
    </xdr:to>
    <xdr:cxnSp macro="">
      <xdr:nvCxnSpPr>
        <xdr:cNvPr id="121" name="258 Conector recto de flecha">
          <a:extLst>
            <a:ext uri="{FF2B5EF4-FFF2-40B4-BE49-F238E27FC236}">
              <a16:creationId xmlns:a16="http://schemas.microsoft.com/office/drawing/2014/main" id="{86DC8634-0961-4293-AA80-0FA216A356DE}"/>
            </a:ext>
          </a:extLst>
        </xdr:cNvPr>
        <xdr:cNvCxnSpPr>
          <a:cxnSpLocks noChangeShapeType="1"/>
          <a:stCxn id="117" idx="2"/>
          <a:endCxn id="111" idx="0"/>
        </xdr:cNvCxnSpPr>
      </xdr:nvCxnSpPr>
      <xdr:spPr bwMode="auto">
        <a:xfrm>
          <a:off x="3893472" y="5656995"/>
          <a:ext cx="2721" cy="291110"/>
        </a:xfrm>
        <a:prstGeom prst="straightConnector1">
          <a:avLst/>
        </a:prstGeom>
        <a:noFill/>
        <a:ln w="25400" algn="ctr">
          <a:solidFill>
            <a:srgbClr val="00B050"/>
          </a:solidFill>
          <a:round/>
          <a:headEnd/>
          <a:tailEnd type="arrow" w="med" len="med"/>
        </a:ln>
      </xdr:spPr>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790574</xdr:colOff>
      <xdr:row>51</xdr:row>
      <xdr:rowOff>47625</xdr:rowOff>
    </xdr:from>
    <xdr:to>
      <xdr:col>8</xdr:col>
      <xdr:colOff>1357183</xdr:colOff>
      <xdr:row>52</xdr:row>
      <xdr:rowOff>140972</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400-000003000000}"/>
            </a:ext>
          </a:extLst>
        </xdr:cNvPr>
        <xdr:cNvSpPr>
          <a:spLocks noChangeArrowheads="1"/>
        </xdr:cNvSpPr>
      </xdr:nvSpPr>
      <xdr:spPr bwMode="auto">
        <a:xfrm>
          <a:off x="4867274" y="8734425"/>
          <a:ext cx="16143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twoCellAnchor>
    <xdr:from>
      <xdr:col>10</xdr:col>
      <xdr:colOff>369093</xdr:colOff>
      <xdr:row>5</xdr:row>
      <xdr:rowOff>4235</xdr:rowOff>
    </xdr:from>
    <xdr:to>
      <xdr:col>17</xdr:col>
      <xdr:colOff>105834</xdr:colOff>
      <xdr:row>17</xdr:row>
      <xdr:rowOff>64824</xdr:rowOff>
    </xdr:to>
    <xdr:graphicFrame macro="">
      <xdr:nvGraphicFramePr>
        <xdr:cNvPr id="4" name="Chart 3">
          <a:extLst>
            <a:ext uri="{FF2B5EF4-FFF2-40B4-BE49-F238E27FC236}">
              <a16:creationId xmlns:a16="http://schemas.microsoft.com/office/drawing/2014/main" id="{42F75684-FF3C-4E79-A2C9-82BCC8726D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4648200</xdr:colOff>
      <xdr:row>9</xdr:row>
      <xdr:rowOff>28575</xdr:rowOff>
    </xdr:from>
    <xdr:to>
      <xdr:col>2</xdr:col>
      <xdr:colOff>1452434</xdr:colOff>
      <xdr:row>10</xdr:row>
      <xdr:rowOff>121922</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500-000003000000}"/>
            </a:ext>
          </a:extLst>
        </xdr:cNvPr>
        <xdr:cNvSpPr>
          <a:spLocks noChangeArrowheads="1"/>
        </xdr:cNvSpPr>
      </xdr:nvSpPr>
      <xdr:spPr bwMode="auto">
        <a:xfrm>
          <a:off x="5257800" y="1752600"/>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3368040</xdr:colOff>
      <xdr:row>112</xdr:row>
      <xdr:rowOff>30480</xdr:rowOff>
    </xdr:from>
    <xdr:to>
      <xdr:col>2</xdr:col>
      <xdr:colOff>743522</xdr:colOff>
      <xdr:row>114</xdr:row>
      <xdr:rowOff>74421</xdr:rowOff>
    </xdr:to>
    <xdr:sp macro="" textlink="">
      <xdr:nvSpPr>
        <xdr:cNvPr id="11276" name="AutoShape 12">
          <a:hlinkClick xmlns:r="http://schemas.openxmlformats.org/officeDocument/2006/relationships" r:id="rId1"/>
          <a:extLst>
            <a:ext uri="{FF2B5EF4-FFF2-40B4-BE49-F238E27FC236}">
              <a16:creationId xmlns:a16="http://schemas.microsoft.com/office/drawing/2014/main" id="{00000000-0008-0000-0600-00000C2C0000}"/>
            </a:ext>
          </a:extLst>
        </xdr:cNvPr>
        <xdr:cNvSpPr>
          <a:spLocks noChangeArrowheads="1"/>
        </xdr:cNvSpPr>
      </xdr:nvSpPr>
      <xdr:spPr bwMode="auto">
        <a:xfrm>
          <a:off x="4591050" y="14941550"/>
          <a:ext cx="1708150" cy="358775"/>
        </a:xfrm>
        <a:prstGeom prst="flowChartPunchedCard">
          <a:avLst/>
        </a:prstGeom>
        <a:gradFill rotWithShape="0">
          <a:gsLst>
            <a:gs pos="0">
              <a:srgbClr val="66FF33"/>
            </a:gs>
            <a:gs pos="50000">
              <a:srgbClr val="FCFF81"/>
            </a:gs>
            <a:gs pos="100000">
              <a:srgbClr val="66FF33"/>
            </a:gs>
          </a:gsLst>
          <a:lin ang="5400000" scaled="1"/>
        </a:gradFill>
        <a:ln w="9525">
          <a:solidFill>
            <a:srgbClr val="000000"/>
          </a:solidFill>
          <a:miter lim="800000"/>
          <a:headEnd/>
          <a:tailEnd/>
        </a:ln>
      </xdr:spPr>
      <xdr:txBody>
        <a:bodyPr vertOverflow="clip" wrap="square" lIns="27432" tIns="22860" rIns="27432" bIns="0" anchor="t" upright="1"/>
        <a:lstStyle/>
        <a:p>
          <a:pPr algn="ctr" rtl="0">
            <a:defRPr sz="1000"/>
          </a:pPr>
          <a:r>
            <a:rPr lang="en-AU" sz="900" b="1" i="0" strike="noStrike">
              <a:solidFill>
                <a:srgbClr val="000000"/>
              </a:solidFill>
              <a:latin typeface="Arial"/>
              <a:cs typeface="Arial"/>
            </a:rPr>
            <a:t>BACK TO MAIN MENU</a:t>
          </a:r>
        </a:p>
      </xdr:txBody>
    </xdr:sp>
    <xdr:clientData/>
  </xdr:twoCellAnchor>
  <xdr:twoCellAnchor>
    <xdr:from>
      <xdr:col>2</xdr:col>
      <xdr:colOff>444499</xdr:colOff>
      <xdr:row>26</xdr:row>
      <xdr:rowOff>127000</xdr:rowOff>
    </xdr:from>
    <xdr:to>
      <xdr:col>2</xdr:col>
      <xdr:colOff>2020758</xdr:colOff>
      <xdr:row>28</xdr:row>
      <xdr:rowOff>64772</xdr:rowOff>
    </xdr:to>
    <xdr:sp macro="" textlink="">
      <xdr:nvSpPr>
        <xdr:cNvPr id="4" name="AutoShape 8">
          <a:hlinkClick xmlns:r="http://schemas.openxmlformats.org/officeDocument/2006/relationships" r:id="rId1"/>
          <a:extLst>
            <a:ext uri="{FF2B5EF4-FFF2-40B4-BE49-F238E27FC236}">
              <a16:creationId xmlns:a16="http://schemas.microsoft.com/office/drawing/2014/main" id="{00000000-0008-0000-0600-000004000000}"/>
            </a:ext>
          </a:extLst>
        </xdr:cNvPr>
        <xdr:cNvSpPr>
          <a:spLocks noChangeArrowheads="1"/>
        </xdr:cNvSpPr>
      </xdr:nvSpPr>
      <xdr:spPr bwMode="auto">
        <a:xfrm>
          <a:off x="6085416" y="6529917"/>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3353595</xdr:colOff>
      <xdr:row>44</xdr:row>
      <xdr:rowOff>69453</xdr:rowOff>
    </xdr:from>
    <xdr:to>
      <xdr:col>2</xdr:col>
      <xdr:colOff>1447275</xdr:colOff>
      <xdr:row>45</xdr:row>
      <xdr:rowOff>96522</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700-000003000000}"/>
            </a:ext>
          </a:extLst>
        </xdr:cNvPr>
        <xdr:cNvSpPr>
          <a:spLocks noChangeArrowheads="1"/>
        </xdr:cNvSpPr>
      </xdr:nvSpPr>
      <xdr:spPr bwMode="auto">
        <a:xfrm>
          <a:off x="3958829" y="5387578"/>
          <a:ext cx="1576259" cy="255272"/>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twoCellAnchor>
    <xdr:from>
      <xdr:col>3</xdr:col>
      <xdr:colOff>230186</xdr:colOff>
      <xdr:row>1</xdr:row>
      <xdr:rowOff>124618</xdr:rowOff>
    </xdr:from>
    <xdr:to>
      <xdr:col>4</xdr:col>
      <xdr:colOff>1068915</xdr:colOff>
      <xdr:row>18</xdr:row>
      <xdr:rowOff>105834</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390525</xdr:colOff>
      <xdr:row>24</xdr:row>
      <xdr:rowOff>95250</xdr:rowOff>
    </xdr:from>
    <xdr:to>
      <xdr:col>3</xdr:col>
      <xdr:colOff>985709</xdr:colOff>
      <xdr:row>26</xdr:row>
      <xdr:rowOff>36197</xdr:rowOff>
    </xdr:to>
    <xdr:sp macro="" textlink="">
      <xdr:nvSpPr>
        <xdr:cNvPr id="3" name="AutoShape 8">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5191125" y="4943475"/>
          <a:ext cx="1576259" cy="264797"/>
        </a:xfrm>
        <a:prstGeom prst="flowChartPunchedCard">
          <a:avLst/>
        </a:prstGeom>
        <a:solidFill>
          <a:schemeClr val="accent1">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0">
            <a:defRPr sz="1000"/>
          </a:pPr>
          <a:r>
            <a:rPr lang="en-AU" sz="1000" b="1" i="0" strike="noStrike">
              <a:solidFill>
                <a:srgbClr val="000000"/>
              </a:solidFill>
              <a:latin typeface="Arial"/>
              <a:cs typeface="Arial"/>
            </a:rPr>
            <a:t>BACK TO MAIN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00FF00"/>
            </a:gs>
            <a:gs pos="50000">
              <a:srgbClr val="FFFF99"/>
            </a:gs>
            <a:gs pos="100000">
              <a:srgbClr val="00FF00"/>
            </a:gs>
          </a:gsLst>
          <a:lin ang="5400000" scaled="1"/>
        </a:gra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00FF00"/>
            </a:gs>
            <a:gs pos="50000">
              <a:srgbClr val="FFFF99"/>
            </a:gs>
            <a:gs pos="100000">
              <a:srgbClr val="00FF00"/>
            </a:gs>
          </a:gsLst>
          <a:lin ang="5400000" scaled="1"/>
        </a:gra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S69"/>
  <sheetViews>
    <sheetView tabSelected="1" zoomScale="90" zoomScaleNormal="90" workbookViewId="0">
      <selection activeCell="Q24" sqref="Q24"/>
    </sheetView>
  </sheetViews>
  <sheetFormatPr defaultColWidth="11.42578125" defaultRowHeight="12.75" x14ac:dyDescent="0.2"/>
  <cols>
    <col min="1" max="16384" width="11.42578125" style="67"/>
  </cols>
  <sheetData>
    <row r="1" spans="1:19" x14ac:dyDescent="0.2">
      <c r="A1" s="69"/>
      <c r="B1" s="69"/>
      <c r="C1" s="69"/>
      <c r="D1" s="69"/>
      <c r="E1" s="69"/>
      <c r="F1" s="69"/>
      <c r="G1" s="69"/>
      <c r="H1" s="69"/>
      <c r="I1" s="69"/>
      <c r="J1" s="69"/>
      <c r="K1" s="69"/>
      <c r="L1" s="69"/>
      <c r="M1" s="69"/>
      <c r="N1" s="69"/>
      <c r="O1" s="69"/>
      <c r="P1" s="69"/>
      <c r="Q1" s="69"/>
      <c r="R1" s="69"/>
      <c r="S1" s="69"/>
    </row>
    <row r="2" spans="1:19" x14ac:dyDescent="0.2">
      <c r="A2" s="69"/>
      <c r="B2" s="69"/>
      <c r="C2" s="69"/>
      <c r="D2" s="69"/>
      <c r="E2" s="69"/>
      <c r="F2" s="69"/>
      <c r="G2" s="69"/>
      <c r="H2" s="69"/>
      <c r="I2" s="69"/>
      <c r="J2" s="69"/>
      <c r="K2" s="69"/>
      <c r="L2" s="69"/>
      <c r="M2" s="69"/>
      <c r="N2" s="69"/>
      <c r="O2" s="69"/>
      <c r="P2" s="69"/>
      <c r="Q2" s="69"/>
      <c r="R2" s="69"/>
      <c r="S2" s="69"/>
    </row>
    <row r="3" spans="1:19" x14ac:dyDescent="0.2">
      <c r="A3" s="69"/>
      <c r="B3" s="69"/>
      <c r="C3" s="69"/>
      <c r="D3" s="69"/>
      <c r="E3" s="69"/>
      <c r="F3" s="69"/>
      <c r="G3" s="69"/>
      <c r="H3" s="69"/>
      <c r="I3" s="69"/>
      <c r="J3" s="69"/>
      <c r="K3" s="69"/>
      <c r="L3" s="69"/>
      <c r="M3" s="69"/>
      <c r="N3" s="69"/>
      <c r="O3" s="69"/>
      <c r="P3" s="69"/>
      <c r="Q3" s="69"/>
      <c r="R3" s="69"/>
      <c r="S3" s="69"/>
    </row>
    <row r="4" spans="1:19" x14ac:dyDescent="0.2">
      <c r="A4" s="69"/>
      <c r="B4" s="69"/>
      <c r="C4" s="69"/>
      <c r="D4" s="69"/>
      <c r="E4" s="69"/>
      <c r="F4" s="69"/>
      <c r="G4" s="69"/>
      <c r="H4" s="69"/>
      <c r="I4" s="69"/>
      <c r="J4" s="69"/>
      <c r="K4" s="69"/>
      <c r="L4" s="69"/>
      <c r="M4" s="69"/>
      <c r="N4" s="69"/>
      <c r="O4" s="69"/>
      <c r="P4" s="69"/>
      <c r="Q4" s="69"/>
      <c r="R4" s="69"/>
      <c r="S4" s="69"/>
    </row>
    <row r="5" spans="1:19" x14ac:dyDescent="0.2">
      <c r="A5" s="69"/>
      <c r="B5" s="69"/>
      <c r="C5" s="69"/>
      <c r="D5" s="69"/>
      <c r="E5" s="69"/>
      <c r="F5" s="69"/>
      <c r="G5" s="69"/>
      <c r="H5" s="69"/>
      <c r="I5" s="69"/>
      <c r="J5" s="69"/>
      <c r="K5" s="69"/>
      <c r="L5" s="69"/>
      <c r="M5" s="69"/>
      <c r="N5" s="69"/>
      <c r="O5" s="69"/>
      <c r="P5" s="69"/>
      <c r="Q5" s="69"/>
      <c r="R5" s="69"/>
      <c r="S5" s="69"/>
    </row>
    <row r="6" spans="1:19" x14ac:dyDescent="0.2">
      <c r="A6" s="69"/>
      <c r="B6" s="69"/>
      <c r="C6" s="69"/>
      <c r="D6" s="69"/>
      <c r="E6" s="69"/>
      <c r="F6" s="69"/>
      <c r="G6" s="69"/>
      <c r="H6" s="69"/>
      <c r="I6" s="69"/>
      <c r="J6" s="69"/>
      <c r="K6" s="69"/>
      <c r="L6" s="69"/>
      <c r="M6" s="69"/>
      <c r="N6" s="69"/>
      <c r="O6" s="69"/>
      <c r="P6" s="69"/>
      <c r="Q6" s="69"/>
      <c r="R6" s="69"/>
      <c r="S6" s="69"/>
    </row>
    <row r="7" spans="1:19" x14ac:dyDescent="0.2">
      <c r="A7" s="69"/>
      <c r="B7" s="69"/>
      <c r="C7" s="69"/>
      <c r="D7" s="69"/>
      <c r="E7" s="69"/>
      <c r="F7" s="69"/>
      <c r="G7" s="69"/>
      <c r="H7" s="69"/>
      <c r="I7" s="69"/>
      <c r="J7" s="69"/>
      <c r="K7" s="69"/>
      <c r="L7" s="69"/>
      <c r="M7" s="69"/>
      <c r="N7" s="69"/>
      <c r="O7" s="69"/>
      <c r="P7" s="69"/>
      <c r="Q7" s="69"/>
      <c r="R7" s="69"/>
      <c r="S7" s="69"/>
    </row>
    <row r="8" spans="1:19" x14ac:dyDescent="0.2">
      <c r="A8" s="69"/>
      <c r="B8" s="69"/>
      <c r="C8" s="69"/>
      <c r="D8" s="69"/>
      <c r="E8" s="69"/>
      <c r="F8" s="69"/>
      <c r="G8" s="69"/>
      <c r="H8" s="69"/>
      <c r="I8" s="69"/>
      <c r="J8" s="69"/>
      <c r="K8" s="69"/>
      <c r="L8" s="69"/>
      <c r="M8" s="69"/>
      <c r="N8" s="69"/>
      <c r="O8" s="69"/>
      <c r="P8" s="69"/>
      <c r="Q8" s="69"/>
      <c r="R8" s="69"/>
      <c r="S8" s="69"/>
    </row>
    <row r="9" spans="1:19" x14ac:dyDescent="0.2">
      <c r="A9" s="69"/>
      <c r="B9" s="69"/>
      <c r="C9" s="69"/>
      <c r="D9" s="69"/>
      <c r="E9" s="69"/>
      <c r="F9" s="69"/>
      <c r="G9" s="69"/>
      <c r="H9" s="69"/>
      <c r="I9" s="69"/>
      <c r="J9" s="69"/>
      <c r="K9" s="69"/>
      <c r="L9" s="69"/>
      <c r="M9" s="69"/>
      <c r="N9" s="69"/>
      <c r="O9" s="69"/>
      <c r="P9" s="69"/>
      <c r="Q9" s="69"/>
      <c r="R9" s="69"/>
      <c r="S9" s="69"/>
    </row>
    <row r="10" spans="1:19" x14ac:dyDescent="0.2">
      <c r="A10" s="69"/>
      <c r="B10" s="69"/>
      <c r="C10" s="69"/>
      <c r="D10" s="69"/>
      <c r="E10" s="69"/>
      <c r="F10" s="69"/>
      <c r="G10" s="69"/>
      <c r="H10" s="69"/>
      <c r="I10" s="69"/>
      <c r="J10" s="69"/>
      <c r="K10" s="69"/>
      <c r="L10" s="69"/>
      <c r="M10" s="69"/>
      <c r="N10" s="69"/>
      <c r="O10" s="69"/>
      <c r="P10" s="69"/>
      <c r="Q10" s="69"/>
      <c r="R10" s="69"/>
      <c r="S10" s="69"/>
    </row>
    <row r="11" spans="1:19" x14ac:dyDescent="0.2">
      <c r="A11" s="69"/>
      <c r="B11" s="69"/>
      <c r="C11" s="69"/>
      <c r="D11" s="69"/>
      <c r="E11" s="69"/>
      <c r="F11" s="69"/>
      <c r="G11" s="69"/>
      <c r="H11" s="69"/>
      <c r="I11" s="69"/>
      <c r="J11" s="69"/>
      <c r="K11" s="69"/>
      <c r="L11" s="69"/>
      <c r="M11" s="69"/>
      <c r="N11" s="69"/>
      <c r="O11" s="69"/>
      <c r="P11" s="69"/>
      <c r="Q11" s="69"/>
      <c r="R11" s="69"/>
      <c r="S11" s="69"/>
    </row>
    <row r="12" spans="1:19" x14ac:dyDescent="0.2">
      <c r="A12" s="69"/>
      <c r="B12" s="69"/>
      <c r="C12" s="69"/>
      <c r="D12" s="69"/>
      <c r="E12" s="69"/>
      <c r="F12" s="69"/>
      <c r="G12" s="69"/>
      <c r="H12" s="69"/>
      <c r="I12" s="69"/>
      <c r="J12" s="69"/>
      <c r="K12" s="69"/>
      <c r="L12" s="69"/>
      <c r="M12" s="69"/>
      <c r="N12" s="69"/>
      <c r="O12" s="69"/>
      <c r="P12" s="69"/>
      <c r="Q12" s="69"/>
      <c r="R12" s="69"/>
      <c r="S12" s="69"/>
    </row>
    <row r="13" spans="1:19" x14ac:dyDescent="0.2">
      <c r="A13" s="69"/>
      <c r="B13" s="69"/>
      <c r="C13" s="69"/>
      <c r="D13" s="69"/>
      <c r="E13" s="69"/>
      <c r="F13" s="69"/>
      <c r="G13" s="69"/>
      <c r="H13" s="69"/>
      <c r="I13" s="69"/>
      <c r="J13" s="69"/>
      <c r="K13" s="69"/>
      <c r="L13" s="69"/>
      <c r="M13" s="69"/>
      <c r="N13" s="69"/>
      <c r="O13" s="69"/>
      <c r="P13" s="69"/>
      <c r="Q13" s="69"/>
      <c r="R13" s="69"/>
      <c r="S13" s="69"/>
    </row>
    <row r="14" spans="1:19" x14ac:dyDescent="0.2">
      <c r="A14" s="69"/>
      <c r="B14" s="69"/>
      <c r="C14" s="69"/>
      <c r="D14" s="69"/>
      <c r="E14" s="69"/>
      <c r="F14" s="69"/>
      <c r="G14" s="69"/>
      <c r="H14" s="69"/>
      <c r="I14" s="69"/>
      <c r="J14" s="69"/>
      <c r="K14" s="69"/>
      <c r="L14" s="69"/>
      <c r="M14" s="69"/>
      <c r="N14" s="69"/>
      <c r="O14" s="69"/>
      <c r="P14" s="69"/>
      <c r="Q14" s="69"/>
      <c r="R14" s="69"/>
      <c r="S14" s="69"/>
    </row>
    <row r="15" spans="1:19" x14ac:dyDescent="0.2">
      <c r="A15" s="69"/>
      <c r="B15" s="69"/>
      <c r="C15" s="69"/>
      <c r="D15" s="69"/>
      <c r="E15" s="69"/>
      <c r="F15" s="69"/>
      <c r="G15" s="69"/>
      <c r="H15" s="69"/>
      <c r="I15" s="69"/>
      <c r="J15" s="69"/>
      <c r="K15" s="69"/>
      <c r="L15" s="69"/>
      <c r="M15" s="69"/>
      <c r="N15" s="69"/>
      <c r="O15" s="69"/>
      <c r="P15" s="69"/>
      <c r="Q15" s="69"/>
      <c r="R15" s="69"/>
      <c r="S15" s="69"/>
    </row>
    <row r="16" spans="1:19" x14ac:dyDescent="0.2">
      <c r="A16" s="69"/>
      <c r="B16" s="69"/>
      <c r="C16" s="69"/>
      <c r="D16" s="69"/>
      <c r="E16" s="69"/>
      <c r="F16" s="69"/>
      <c r="G16" s="69"/>
      <c r="H16" s="69"/>
      <c r="I16" s="69"/>
      <c r="J16" s="69"/>
      <c r="K16" s="69"/>
      <c r="L16" s="69"/>
      <c r="M16" s="69"/>
      <c r="N16" s="69"/>
      <c r="O16" s="69"/>
      <c r="P16" s="69"/>
      <c r="Q16" s="69"/>
      <c r="R16" s="69"/>
      <c r="S16" s="69"/>
    </row>
    <row r="17" spans="1:19" x14ac:dyDescent="0.2">
      <c r="A17" s="69"/>
      <c r="B17" s="69"/>
      <c r="C17" s="69"/>
      <c r="D17" s="69"/>
      <c r="E17" s="69"/>
      <c r="F17" s="69"/>
      <c r="G17" s="69"/>
      <c r="H17" s="69"/>
      <c r="I17" s="69"/>
      <c r="J17" s="69"/>
      <c r="K17" s="69"/>
      <c r="L17" s="69"/>
      <c r="M17" s="69"/>
      <c r="N17" s="69"/>
      <c r="O17" s="69"/>
      <c r="P17" s="69"/>
      <c r="Q17" s="69"/>
      <c r="R17" s="69"/>
      <c r="S17" s="69"/>
    </row>
    <row r="18" spans="1:19" x14ac:dyDescent="0.2">
      <c r="A18" s="69"/>
      <c r="B18" s="69"/>
      <c r="C18" s="69"/>
      <c r="D18" s="69"/>
      <c r="E18" s="69"/>
      <c r="F18" s="69"/>
      <c r="G18" s="69"/>
      <c r="H18" s="69"/>
      <c r="I18" s="69"/>
      <c r="J18" s="69"/>
      <c r="K18" s="69"/>
      <c r="L18" s="69"/>
      <c r="M18" s="69"/>
      <c r="N18" s="69"/>
      <c r="O18" s="69"/>
      <c r="P18" s="69"/>
      <c r="Q18" s="69"/>
      <c r="R18" s="69"/>
      <c r="S18" s="69"/>
    </row>
    <row r="19" spans="1:19" x14ac:dyDescent="0.2">
      <c r="A19" s="69"/>
      <c r="B19" s="69"/>
      <c r="C19" s="69"/>
      <c r="D19" s="69"/>
      <c r="E19" s="69"/>
      <c r="F19" s="69"/>
      <c r="G19" s="69"/>
      <c r="H19" s="69"/>
      <c r="I19" s="69"/>
      <c r="J19" s="69"/>
      <c r="K19" s="69"/>
      <c r="L19" s="69"/>
      <c r="M19" s="69"/>
      <c r="N19" s="69"/>
      <c r="O19" s="69"/>
      <c r="P19" s="69"/>
      <c r="Q19" s="69"/>
      <c r="R19" s="69"/>
      <c r="S19" s="69"/>
    </row>
    <row r="20" spans="1:19" x14ac:dyDescent="0.2">
      <c r="A20" s="69"/>
      <c r="B20" s="69"/>
      <c r="C20" s="69"/>
      <c r="D20" s="69"/>
      <c r="E20" s="69"/>
      <c r="F20" s="69"/>
      <c r="G20" s="69"/>
      <c r="H20" s="69"/>
      <c r="I20" s="69"/>
      <c r="J20" s="69"/>
      <c r="K20" s="69"/>
      <c r="L20" s="69"/>
      <c r="M20" s="69"/>
      <c r="N20" s="69"/>
      <c r="O20" s="69"/>
      <c r="P20" s="69"/>
      <c r="Q20" s="69"/>
      <c r="R20" s="69"/>
      <c r="S20" s="69"/>
    </row>
    <row r="21" spans="1:19" x14ac:dyDescent="0.2">
      <c r="A21" s="69"/>
      <c r="B21" s="69"/>
      <c r="C21" s="69"/>
      <c r="D21" s="69"/>
      <c r="E21" s="69"/>
      <c r="F21" s="69"/>
      <c r="G21" s="69"/>
      <c r="H21" s="69"/>
      <c r="I21" s="69"/>
      <c r="J21" s="69"/>
      <c r="K21" s="69"/>
      <c r="L21" s="69"/>
      <c r="M21" s="69"/>
      <c r="N21" s="69"/>
      <c r="O21" s="69"/>
      <c r="P21" s="69"/>
      <c r="Q21" s="69"/>
      <c r="R21" s="69"/>
      <c r="S21" s="69"/>
    </row>
    <row r="22" spans="1:19" x14ac:dyDescent="0.2">
      <c r="A22" s="69"/>
      <c r="B22" s="69"/>
      <c r="C22" s="69"/>
      <c r="D22" s="69"/>
      <c r="E22" s="69"/>
      <c r="F22" s="69"/>
      <c r="G22" s="69"/>
      <c r="H22" s="69"/>
      <c r="I22" s="69"/>
      <c r="J22" s="69"/>
      <c r="K22" s="69"/>
      <c r="L22" s="69"/>
      <c r="M22" s="69"/>
      <c r="N22" s="69"/>
      <c r="O22" s="69"/>
      <c r="P22" s="69"/>
      <c r="Q22" s="69"/>
      <c r="R22" s="69"/>
      <c r="S22" s="69"/>
    </row>
    <row r="23" spans="1:19" x14ac:dyDescent="0.2">
      <c r="A23" s="69"/>
      <c r="B23" s="69"/>
      <c r="C23" s="69"/>
      <c r="D23" s="69"/>
      <c r="E23" s="69"/>
      <c r="F23" s="69"/>
      <c r="G23" s="69"/>
      <c r="H23" s="69"/>
      <c r="I23" s="69"/>
      <c r="J23" s="69"/>
      <c r="K23" s="69"/>
      <c r="L23" s="69"/>
      <c r="M23" s="69"/>
      <c r="N23" s="69"/>
      <c r="O23" s="69"/>
      <c r="P23" s="69"/>
      <c r="Q23" s="69"/>
      <c r="R23" s="69"/>
      <c r="S23" s="69"/>
    </row>
    <row r="24" spans="1:19" x14ac:dyDescent="0.2">
      <c r="A24" s="69"/>
      <c r="B24" s="69"/>
      <c r="C24" s="69"/>
      <c r="D24" s="69"/>
      <c r="E24" s="69"/>
      <c r="F24" s="69"/>
      <c r="G24" s="69"/>
      <c r="H24" s="69"/>
      <c r="I24" s="69"/>
      <c r="J24" s="69"/>
      <c r="K24" s="69"/>
      <c r="L24" s="69"/>
      <c r="M24" s="69"/>
      <c r="N24" s="69"/>
      <c r="O24" s="69"/>
      <c r="P24" s="69"/>
      <c r="Q24" s="69"/>
      <c r="R24" s="69"/>
      <c r="S24" s="69"/>
    </row>
    <row r="25" spans="1:19" x14ac:dyDescent="0.2">
      <c r="A25" s="69"/>
      <c r="B25" s="69"/>
      <c r="C25" s="69"/>
      <c r="D25" s="69"/>
      <c r="E25" s="69"/>
      <c r="F25" s="69"/>
      <c r="G25" s="69"/>
      <c r="H25" s="69"/>
      <c r="I25" s="69"/>
      <c r="J25" s="69"/>
      <c r="K25" s="69"/>
      <c r="L25" s="69"/>
      <c r="M25" s="69"/>
      <c r="N25" s="69"/>
      <c r="O25" s="69"/>
      <c r="P25" s="69"/>
      <c r="Q25" s="69"/>
      <c r="R25" s="69"/>
      <c r="S25" s="69"/>
    </row>
    <row r="26" spans="1:19" x14ac:dyDescent="0.2">
      <c r="A26" s="69"/>
      <c r="B26" s="69"/>
      <c r="C26" s="69"/>
      <c r="D26" s="69"/>
      <c r="E26" s="69"/>
      <c r="F26" s="69"/>
      <c r="G26" s="69"/>
      <c r="H26" s="69"/>
      <c r="I26" s="69"/>
      <c r="J26" s="69"/>
      <c r="K26" s="69"/>
      <c r="L26" s="69"/>
      <c r="M26" s="69"/>
      <c r="N26" s="69"/>
      <c r="O26" s="69"/>
      <c r="P26" s="69"/>
      <c r="Q26" s="69"/>
      <c r="R26" s="69"/>
      <c r="S26" s="69"/>
    </row>
    <row r="27" spans="1:19" x14ac:dyDescent="0.2">
      <c r="A27" s="69"/>
      <c r="B27" s="69"/>
      <c r="C27" s="69"/>
      <c r="D27" s="69"/>
      <c r="E27" s="69"/>
      <c r="F27" s="69"/>
      <c r="G27" s="69"/>
      <c r="H27" s="69"/>
      <c r="I27" s="69"/>
      <c r="J27" s="69"/>
      <c r="K27" s="69"/>
      <c r="L27" s="69"/>
      <c r="M27" s="69"/>
      <c r="N27" s="69"/>
      <c r="O27" s="69"/>
      <c r="P27" s="69"/>
      <c r="Q27" s="69"/>
      <c r="R27" s="69"/>
      <c r="S27" s="69"/>
    </row>
    <row r="28" spans="1:19" x14ac:dyDescent="0.2">
      <c r="A28" s="69"/>
      <c r="B28" s="69"/>
      <c r="C28" s="69"/>
      <c r="D28" s="69"/>
      <c r="E28" s="69"/>
      <c r="F28" s="69"/>
      <c r="G28" s="69"/>
      <c r="H28" s="69"/>
      <c r="I28" s="69"/>
      <c r="J28" s="69"/>
      <c r="K28" s="69"/>
      <c r="L28" s="69"/>
      <c r="M28" s="69"/>
      <c r="N28" s="69"/>
      <c r="O28" s="69"/>
      <c r="P28" s="69"/>
      <c r="Q28" s="69"/>
      <c r="R28" s="69"/>
      <c r="S28" s="69"/>
    </row>
    <row r="29" spans="1:19" x14ac:dyDescent="0.2">
      <c r="A29" s="69"/>
      <c r="B29" s="69"/>
      <c r="C29" s="69"/>
      <c r="D29" s="69"/>
      <c r="E29" s="69"/>
      <c r="F29" s="69"/>
      <c r="G29" s="69"/>
      <c r="H29" s="69"/>
      <c r="I29" s="69"/>
      <c r="J29" s="69"/>
      <c r="K29" s="69"/>
      <c r="L29" s="69"/>
      <c r="M29" s="69"/>
      <c r="N29" s="69"/>
      <c r="O29" s="69"/>
      <c r="P29" s="69"/>
      <c r="Q29" s="69"/>
      <c r="R29" s="69"/>
      <c r="S29" s="69"/>
    </row>
    <row r="30" spans="1:19" x14ac:dyDescent="0.2">
      <c r="A30" s="69"/>
      <c r="B30" s="69"/>
      <c r="C30" s="69"/>
      <c r="D30" s="69"/>
      <c r="E30" s="69"/>
      <c r="F30" s="69"/>
      <c r="G30" s="69"/>
      <c r="H30" s="69"/>
      <c r="I30" s="69"/>
      <c r="J30" s="69"/>
      <c r="K30" s="69"/>
      <c r="L30" s="69"/>
      <c r="M30" s="69"/>
      <c r="N30" s="69"/>
      <c r="O30" s="69"/>
      <c r="P30" s="69"/>
      <c r="Q30" s="69"/>
      <c r="R30" s="69"/>
      <c r="S30" s="69"/>
    </row>
    <row r="31" spans="1:19" x14ac:dyDescent="0.2">
      <c r="A31" s="69"/>
      <c r="B31" s="69"/>
      <c r="C31" s="69"/>
      <c r="D31" s="69"/>
      <c r="E31" s="69"/>
      <c r="F31" s="69"/>
      <c r="G31" s="69"/>
      <c r="H31" s="69"/>
      <c r="I31" s="69"/>
      <c r="J31" s="69"/>
      <c r="K31" s="69"/>
      <c r="L31" s="69"/>
      <c r="M31" s="69"/>
      <c r="N31" s="69"/>
      <c r="O31" s="69"/>
      <c r="P31" s="69"/>
      <c r="Q31" s="69"/>
      <c r="R31" s="69"/>
      <c r="S31" s="69"/>
    </row>
    <row r="32" spans="1:19" x14ac:dyDescent="0.2">
      <c r="A32" s="69"/>
      <c r="B32" s="69"/>
      <c r="C32" s="69"/>
      <c r="D32" s="69"/>
      <c r="E32" s="69"/>
      <c r="F32" s="69"/>
      <c r="G32" s="69"/>
      <c r="H32" s="69"/>
      <c r="I32" s="69"/>
      <c r="J32" s="69"/>
      <c r="K32" s="69"/>
      <c r="L32" s="69"/>
      <c r="M32" s="69"/>
      <c r="N32" s="69"/>
      <c r="O32" s="69"/>
      <c r="P32" s="69"/>
      <c r="Q32" s="69"/>
      <c r="R32" s="69"/>
      <c r="S32" s="69"/>
    </row>
    <row r="33" spans="1:19" x14ac:dyDescent="0.2">
      <c r="A33" s="69"/>
      <c r="B33" s="69"/>
      <c r="C33" s="69"/>
      <c r="D33" s="69"/>
      <c r="E33" s="69"/>
      <c r="F33" s="69"/>
      <c r="G33" s="69"/>
      <c r="H33" s="69"/>
      <c r="I33" s="69"/>
      <c r="J33" s="69"/>
      <c r="K33" s="69"/>
      <c r="L33" s="69"/>
      <c r="M33" s="69"/>
      <c r="N33" s="69"/>
      <c r="O33" s="69"/>
      <c r="P33" s="69"/>
      <c r="Q33" s="69"/>
      <c r="R33" s="69"/>
      <c r="S33" s="69"/>
    </row>
    <row r="34" spans="1:19" x14ac:dyDescent="0.2">
      <c r="A34" s="69"/>
      <c r="B34" s="69"/>
      <c r="C34" s="69"/>
      <c r="D34" s="69"/>
      <c r="E34" s="69"/>
      <c r="F34" s="69"/>
      <c r="G34" s="69"/>
      <c r="H34" s="69"/>
      <c r="I34" s="69"/>
      <c r="J34" s="69"/>
      <c r="K34" s="69"/>
      <c r="L34" s="69"/>
      <c r="M34" s="69"/>
      <c r="N34" s="69"/>
      <c r="O34" s="69"/>
      <c r="P34" s="69"/>
      <c r="Q34" s="69"/>
      <c r="R34" s="69"/>
      <c r="S34" s="69"/>
    </row>
    <row r="35" spans="1:19" x14ac:dyDescent="0.2">
      <c r="A35" s="69"/>
      <c r="B35" s="69"/>
      <c r="C35" s="69"/>
      <c r="D35" s="69"/>
      <c r="E35" s="69"/>
      <c r="F35" s="69"/>
      <c r="G35" s="69"/>
      <c r="H35" s="69"/>
      <c r="I35" s="69"/>
      <c r="J35" s="69"/>
      <c r="K35" s="69"/>
      <c r="L35" s="69"/>
      <c r="M35" s="69"/>
      <c r="N35" s="69"/>
      <c r="O35" s="69"/>
      <c r="P35" s="69"/>
      <c r="Q35" s="69"/>
      <c r="R35" s="69"/>
      <c r="S35" s="69"/>
    </row>
    <row r="36" spans="1:19" x14ac:dyDescent="0.2">
      <c r="A36" s="69"/>
      <c r="B36" s="69"/>
      <c r="C36" s="69"/>
      <c r="D36" s="69"/>
      <c r="E36" s="69"/>
      <c r="F36" s="69"/>
      <c r="G36" s="69"/>
      <c r="H36" s="69"/>
      <c r="I36" s="69"/>
      <c r="J36" s="69"/>
      <c r="K36" s="69"/>
      <c r="L36" s="69"/>
      <c r="M36" s="69"/>
      <c r="N36" s="69"/>
      <c r="O36" s="69"/>
      <c r="P36" s="69"/>
      <c r="Q36" s="69"/>
      <c r="R36" s="69"/>
      <c r="S36" s="69"/>
    </row>
    <row r="37" spans="1:19" x14ac:dyDescent="0.2">
      <c r="A37" s="69"/>
      <c r="B37" s="69"/>
      <c r="C37" s="69"/>
      <c r="D37" s="69"/>
      <c r="E37" s="69"/>
      <c r="F37" s="69"/>
      <c r="G37" s="69"/>
      <c r="H37" s="69"/>
      <c r="I37" s="69"/>
      <c r="J37" s="69"/>
      <c r="K37" s="69"/>
      <c r="L37" s="69"/>
      <c r="M37" s="69"/>
      <c r="N37" s="69"/>
      <c r="O37" s="69"/>
      <c r="P37" s="69"/>
      <c r="Q37" s="69"/>
      <c r="R37" s="69"/>
      <c r="S37" s="69"/>
    </row>
    <row r="38" spans="1:19" x14ac:dyDescent="0.2">
      <c r="A38" s="69"/>
      <c r="B38" s="69"/>
      <c r="C38" s="69"/>
      <c r="D38" s="69"/>
      <c r="E38" s="69"/>
      <c r="F38" s="69"/>
      <c r="G38" s="69"/>
      <c r="H38" s="69"/>
      <c r="I38" s="69"/>
      <c r="J38" s="69"/>
      <c r="K38" s="69"/>
      <c r="L38" s="69"/>
      <c r="M38" s="69"/>
      <c r="N38" s="69"/>
      <c r="O38" s="69"/>
      <c r="P38" s="69"/>
      <c r="Q38" s="69"/>
      <c r="R38" s="69"/>
      <c r="S38" s="69"/>
    </row>
    <row r="39" spans="1:19" x14ac:dyDescent="0.2">
      <c r="A39" s="69"/>
      <c r="B39" s="69"/>
      <c r="C39" s="69"/>
      <c r="D39" s="69"/>
      <c r="E39" s="69"/>
      <c r="F39" s="69"/>
      <c r="G39" s="69"/>
      <c r="H39" s="69"/>
      <c r="I39" s="69"/>
      <c r="J39" s="69"/>
      <c r="K39" s="69"/>
      <c r="L39" s="69"/>
      <c r="M39" s="69"/>
      <c r="N39" s="69"/>
      <c r="O39" s="69"/>
      <c r="P39" s="69"/>
      <c r="Q39" s="69"/>
      <c r="R39" s="69"/>
      <c r="S39" s="69"/>
    </row>
    <row r="40" spans="1:19" ht="30.75" customHeight="1" x14ac:dyDescent="0.2">
      <c r="A40" s="69"/>
      <c r="B40" s="69"/>
      <c r="C40" s="69"/>
      <c r="D40" s="69"/>
      <c r="E40" s="69"/>
      <c r="F40" s="69"/>
      <c r="G40" s="69"/>
      <c r="H40" s="69"/>
      <c r="I40" s="69"/>
      <c r="J40" s="69"/>
      <c r="K40" s="69"/>
      <c r="L40" s="69"/>
      <c r="M40" s="69"/>
      <c r="N40" s="69"/>
      <c r="O40" s="69"/>
      <c r="P40" s="69"/>
      <c r="Q40" s="69"/>
      <c r="R40" s="69"/>
      <c r="S40" s="69"/>
    </row>
    <row r="41" spans="1:19" x14ac:dyDescent="0.2">
      <c r="A41" s="69"/>
      <c r="B41" s="69"/>
      <c r="C41" s="69"/>
      <c r="D41" s="69"/>
      <c r="E41" s="69"/>
      <c r="F41" s="69"/>
      <c r="G41" s="69"/>
      <c r="H41" s="69"/>
      <c r="I41" s="69"/>
      <c r="J41" s="69"/>
      <c r="K41" s="69"/>
      <c r="L41" s="69"/>
      <c r="M41" s="69"/>
      <c r="N41" s="69"/>
      <c r="O41" s="69"/>
      <c r="P41" s="69"/>
      <c r="Q41" s="69"/>
      <c r="R41" s="69"/>
      <c r="S41" s="69"/>
    </row>
    <row r="42" spans="1:19" x14ac:dyDescent="0.2">
      <c r="A42" s="69"/>
      <c r="B42" s="69"/>
      <c r="C42" s="69"/>
      <c r="D42" s="69"/>
      <c r="E42" s="69"/>
      <c r="F42" s="69"/>
      <c r="G42" s="69"/>
      <c r="H42" s="69"/>
      <c r="I42" s="69"/>
      <c r="J42" s="69"/>
      <c r="K42" s="69"/>
      <c r="L42" s="69"/>
      <c r="M42" s="69"/>
      <c r="N42" s="69"/>
      <c r="O42" s="69"/>
      <c r="P42" s="69"/>
      <c r="Q42" s="69"/>
      <c r="R42" s="69"/>
      <c r="S42" s="69"/>
    </row>
    <row r="43" spans="1:19" x14ac:dyDescent="0.2">
      <c r="A43" s="69"/>
      <c r="B43" s="69"/>
      <c r="C43" s="69"/>
      <c r="D43" s="69"/>
      <c r="E43" s="69"/>
      <c r="F43" s="69"/>
      <c r="G43" s="69"/>
      <c r="H43" s="69"/>
      <c r="I43" s="69"/>
      <c r="J43" s="69"/>
      <c r="K43" s="69"/>
      <c r="L43" s="69"/>
      <c r="M43" s="69"/>
      <c r="N43" s="69"/>
      <c r="O43" s="69"/>
      <c r="P43" s="69"/>
      <c r="Q43" s="69"/>
      <c r="R43" s="69"/>
      <c r="S43" s="69"/>
    </row>
    <row r="44" spans="1:19" x14ac:dyDescent="0.2">
      <c r="A44" s="69"/>
      <c r="B44" s="69"/>
      <c r="C44" s="69"/>
      <c r="D44" s="69"/>
      <c r="E44" s="69"/>
      <c r="F44" s="69"/>
      <c r="G44" s="69"/>
      <c r="H44" s="69"/>
      <c r="I44" s="69"/>
      <c r="J44" s="69"/>
      <c r="K44" s="69"/>
      <c r="L44" s="69"/>
      <c r="M44" s="69"/>
      <c r="N44" s="69"/>
      <c r="O44" s="69"/>
      <c r="P44" s="69"/>
      <c r="Q44" s="69"/>
      <c r="R44" s="69"/>
      <c r="S44" s="69"/>
    </row>
    <row r="45" spans="1:19" x14ac:dyDescent="0.2">
      <c r="A45" s="69"/>
      <c r="B45" s="69"/>
      <c r="C45" s="69"/>
      <c r="D45" s="69"/>
      <c r="E45" s="69"/>
      <c r="F45" s="69"/>
      <c r="G45" s="69"/>
      <c r="H45" s="69"/>
      <c r="I45" s="69"/>
      <c r="J45" s="69"/>
      <c r="K45" s="69"/>
      <c r="L45" s="69"/>
      <c r="M45" s="69"/>
      <c r="N45" s="69"/>
      <c r="O45" s="69"/>
      <c r="P45" s="69"/>
      <c r="Q45" s="69"/>
      <c r="R45" s="69"/>
      <c r="S45" s="69"/>
    </row>
    <row r="46" spans="1:19" x14ac:dyDescent="0.2">
      <c r="A46" s="69"/>
      <c r="B46" s="69"/>
      <c r="C46" s="69"/>
      <c r="D46" s="69"/>
      <c r="E46" s="69"/>
      <c r="F46" s="69"/>
      <c r="G46" s="69"/>
      <c r="H46" s="69"/>
      <c r="I46" s="69"/>
      <c r="J46" s="69"/>
      <c r="K46" s="69"/>
      <c r="L46" s="69"/>
      <c r="M46" s="69"/>
      <c r="N46" s="69"/>
      <c r="O46" s="69"/>
      <c r="P46" s="69"/>
      <c r="Q46" s="69"/>
      <c r="R46" s="69"/>
      <c r="S46" s="69"/>
    </row>
    <row r="47" spans="1:19" x14ac:dyDescent="0.2">
      <c r="A47" s="69"/>
      <c r="B47" s="69"/>
      <c r="C47" s="69"/>
      <c r="D47" s="69"/>
      <c r="E47" s="69"/>
      <c r="F47" s="69"/>
      <c r="G47" s="69"/>
      <c r="H47" s="69"/>
      <c r="I47" s="69"/>
      <c r="J47" s="69"/>
      <c r="K47" s="69"/>
      <c r="L47" s="69"/>
      <c r="M47" s="69"/>
      <c r="N47" s="69"/>
      <c r="O47" s="69"/>
      <c r="P47" s="69"/>
      <c r="Q47" s="69"/>
      <c r="R47" s="69"/>
      <c r="S47" s="69"/>
    </row>
    <row r="48" spans="1:19" x14ac:dyDescent="0.2">
      <c r="A48" s="69"/>
      <c r="B48" s="69"/>
      <c r="C48" s="69"/>
      <c r="D48" s="69"/>
      <c r="E48" s="69"/>
      <c r="F48" s="69"/>
      <c r="G48" s="69"/>
      <c r="H48" s="69"/>
      <c r="I48" s="69"/>
      <c r="J48" s="69"/>
      <c r="K48" s="69"/>
      <c r="L48" s="69"/>
      <c r="M48" s="69"/>
      <c r="N48" s="69"/>
      <c r="O48" s="69"/>
      <c r="P48" s="69"/>
      <c r="Q48" s="69"/>
      <c r="R48" s="69"/>
      <c r="S48" s="69"/>
    </row>
    <row r="49" spans="1:19" x14ac:dyDescent="0.2">
      <c r="A49" s="69"/>
      <c r="B49" s="69"/>
      <c r="C49" s="69"/>
      <c r="D49" s="69"/>
      <c r="E49" s="69"/>
      <c r="F49" s="69"/>
      <c r="G49" s="69"/>
      <c r="H49" s="69"/>
      <c r="I49" s="69"/>
      <c r="J49" s="69"/>
      <c r="K49" s="69"/>
      <c r="L49" s="69"/>
      <c r="M49" s="69"/>
      <c r="N49" s="69"/>
      <c r="O49" s="69"/>
      <c r="P49" s="69"/>
      <c r="Q49" s="69"/>
      <c r="R49" s="69"/>
      <c r="S49" s="69"/>
    </row>
    <row r="50" spans="1:19" x14ac:dyDescent="0.2">
      <c r="A50" s="69"/>
      <c r="B50" s="69"/>
      <c r="C50" s="69"/>
      <c r="D50" s="69"/>
      <c r="E50" s="69"/>
      <c r="F50" s="69"/>
      <c r="G50" s="69"/>
      <c r="H50" s="69"/>
      <c r="I50" s="69"/>
      <c r="J50" s="69"/>
      <c r="K50" s="69"/>
      <c r="L50" s="69"/>
      <c r="M50" s="69"/>
      <c r="N50" s="69"/>
      <c r="O50" s="69"/>
      <c r="P50" s="69"/>
      <c r="Q50" s="69"/>
      <c r="R50" s="69"/>
      <c r="S50" s="69"/>
    </row>
    <row r="51" spans="1:19" x14ac:dyDescent="0.2">
      <c r="A51" s="69"/>
      <c r="B51" s="69"/>
      <c r="C51" s="69"/>
      <c r="D51" s="69"/>
      <c r="E51" s="69"/>
      <c r="F51" s="69"/>
      <c r="G51" s="69"/>
      <c r="H51" s="69"/>
      <c r="I51" s="69"/>
      <c r="J51" s="69"/>
      <c r="K51" s="69"/>
      <c r="L51" s="69"/>
      <c r="M51" s="69"/>
      <c r="N51" s="69"/>
      <c r="O51" s="69"/>
      <c r="P51" s="69"/>
      <c r="Q51" s="69"/>
      <c r="R51" s="69"/>
      <c r="S51" s="69"/>
    </row>
    <row r="52" spans="1:19" x14ac:dyDescent="0.2">
      <c r="A52" s="69"/>
      <c r="B52" s="69"/>
      <c r="C52" s="69"/>
      <c r="D52" s="69"/>
      <c r="E52" s="69"/>
      <c r="F52" s="69"/>
      <c r="G52" s="69"/>
      <c r="H52" s="69"/>
      <c r="I52" s="69"/>
      <c r="J52" s="69"/>
      <c r="K52" s="69"/>
      <c r="L52" s="69"/>
      <c r="M52" s="69"/>
      <c r="N52" s="69"/>
      <c r="O52" s="69"/>
      <c r="P52" s="69"/>
      <c r="Q52" s="69"/>
      <c r="R52" s="69"/>
      <c r="S52" s="69"/>
    </row>
    <row r="53" spans="1:19" x14ac:dyDescent="0.2">
      <c r="A53" s="69"/>
      <c r="B53" s="69"/>
      <c r="C53" s="69"/>
      <c r="D53" s="69"/>
      <c r="E53" s="69"/>
      <c r="F53" s="69"/>
      <c r="G53" s="69"/>
      <c r="H53" s="69"/>
      <c r="I53" s="69"/>
      <c r="J53" s="69"/>
      <c r="K53" s="69"/>
      <c r="L53" s="69"/>
      <c r="M53" s="69"/>
      <c r="N53" s="69"/>
      <c r="O53" s="69"/>
      <c r="P53" s="69"/>
      <c r="Q53" s="69"/>
      <c r="R53" s="69"/>
      <c r="S53" s="69"/>
    </row>
    <row r="54" spans="1:19" x14ac:dyDescent="0.2">
      <c r="A54" s="69"/>
      <c r="B54" s="69"/>
      <c r="C54" s="69"/>
      <c r="D54" s="69"/>
      <c r="E54" s="69"/>
      <c r="F54" s="69"/>
      <c r="G54" s="69"/>
      <c r="H54" s="69"/>
      <c r="I54" s="69"/>
      <c r="J54" s="69"/>
      <c r="K54" s="69"/>
      <c r="L54" s="69"/>
      <c r="M54" s="69"/>
      <c r="N54" s="69"/>
      <c r="O54" s="69"/>
      <c r="P54" s="69"/>
      <c r="Q54" s="69"/>
      <c r="R54" s="69"/>
      <c r="S54" s="69"/>
    </row>
    <row r="55" spans="1:19" x14ac:dyDescent="0.2">
      <c r="A55" s="69"/>
      <c r="B55" s="69"/>
      <c r="C55" s="69"/>
      <c r="D55" s="69"/>
      <c r="E55" s="69"/>
      <c r="F55" s="69"/>
      <c r="G55" s="69"/>
      <c r="H55" s="69"/>
      <c r="I55" s="69"/>
      <c r="J55" s="69"/>
      <c r="K55" s="69"/>
      <c r="L55" s="69"/>
      <c r="M55" s="69"/>
      <c r="N55" s="69"/>
      <c r="O55" s="69"/>
      <c r="P55" s="69"/>
      <c r="Q55" s="69"/>
      <c r="R55" s="69"/>
      <c r="S55" s="69"/>
    </row>
    <row r="56" spans="1:19" x14ac:dyDescent="0.2">
      <c r="A56" s="69"/>
      <c r="B56" s="69"/>
      <c r="C56" s="69"/>
      <c r="D56" s="69"/>
      <c r="E56" s="69"/>
      <c r="F56" s="69"/>
      <c r="G56" s="69"/>
      <c r="H56" s="69"/>
      <c r="I56" s="69"/>
      <c r="J56" s="69"/>
      <c r="K56" s="69"/>
      <c r="L56" s="69"/>
      <c r="M56" s="69"/>
      <c r="N56" s="69"/>
      <c r="O56" s="69"/>
      <c r="P56" s="69"/>
      <c r="Q56" s="69"/>
      <c r="R56" s="69"/>
      <c r="S56" s="69"/>
    </row>
    <row r="57" spans="1:19" x14ac:dyDescent="0.2">
      <c r="A57" s="69"/>
      <c r="B57" s="69"/>
      <c r="C57" s="69"/>
      <c r="D57" s="69"/>
      <c r="E57" s="69"/>
      <c r="F57" s="69"/>
      <c r="G57" s="69"/>
      <c r="H57" s="69"/>
      <c r="I57" s="69"/>
      <c r="J57" s="69"/>
      <c r="K57" s="69"/>
      <c r="L57" s="69"/>
      <c r="M57" s="69"/>
      <c r="N57" s="69"/>
      <c r="O57" s="69"/>
      <c r="P57" s="69"/>
      <c r="Q57" s="69"/>
      <c r="R57" s="69"/>
      <c r="S57" s="69"/>
    </row>
    <row r="58" spans="1:19" x14ac:dyDescent="0.2">
      <c r="A58" s="69"/>
      <c r="B58" s="69"/>
      <c r="C58" s="69"/>
      <c r="D58" s="69"/>
      <c r="E58" s="69"/>
      <c r="F58" s="69"/>
      <c r="G58" s="69"/>
      <c r="H58" s="69"/>
      <c r="I58" s="69"/>
      <c r="J58" s="69"/>
      <c r="K58" s="69"/>
      <c r="L58" s="69"/>
      <c r="M58" s="69"/>
      <c r="N58" s="69"/>
      <c r="O58" s="69"/>
      <c r="P58" s="69"/>
      <c r="Q58" s="69"/>
      <c r="R58" s="69"/>
      <c r="S58" s="69"/>
    </row>
    <row r="59" spans="1:19" x14ac:dyDescent="0.2">
      <c r="A59" s="69"/>
      <c r="B59" s="69"/>
      <c r="C59" s="69"/>
      <c r="D59" s="69"/>
      <c r="E59" s="69"/>
      <c r="F59" s="69"/>
      <c r="G59" s="69"/>
      <c r="H59" s="69"/>
      <c r="I59" s="69"/>
      <c r="J59" s="69"/>
      <c r="K59" s="69"/>
      <c r="L59" s="69"/>
      <c r="M59" s="69"/>
      <c r="N59" s="69"/>
      <c r="O59" s="69"/>
      <c r="P59" s="69"/>
      <c r="Q59" s="69"/>
      <c r="R59" s="69"/>
      <c r="S59" s="69"/>
    </row>
    <row r="60" spans="1:19" x14ac:dyDescent="0.2">
      <c r="A60" s="69"/>
      <c r="B60" s="69"/>
      <c r="C60" s="69"/>
      <c r="D60" s="69"/>
      <c r="E60" s="69"/>
      <c r="F60" s="69"/>
      <c r="G60" s="69"/>
      <c r="H60" s="69"/>
      <c r="I60" s="69"/>
      <c r="J60" s="69"/>
      <c r="K60" s="69"/>
      <c r="L60" s="69"/>
      <c r="M60" s="69"/>
      <c r="N60" s="69"/>
      <c r="O60" s="69"/>
      <c r="P60" s="69"/>
      <c r="Q60" s="69"/>
      <c r="R60" s="69"/>
      <c r="S60" s="69"/>
    </row>
    <row r="61" spans="1:19" x14ac:dyDescent="0.2">
      <c r="A61" s="69"/>
      <c r="B61" s="69"/>
      <c r="C61" s="69"/>
      <c r="D61" s="69"/>
      <c r="E61" s="69"/>
      <c r="F61" s="69"/>
      <c r="G61" s="69"/>
      <c r="H61" s="69"/>
      <c r="I61" s="69"/>
      <c r="J61" s="69"/>
      <c r="K61" s="69"/>
      <c r="L61" s="69"/>
      <c r="M61" s="69"/>
      <c r="N61" s="69"/>
      <c r="O61" s="69"/>
      <c r="P61" s="69"/>
      <c r="Q61" s="69"/>
      <c r="R61" s="69"/>
      <c r="S61" s="69"/>
    </row>
    <row r="62" spans="1:19" x14ac:dyDescent="0.2">
      <c r="A62" s="69"/>
      <c r="B62" s="69"/>
      <c r="C62" s="69"/>
      <c r="D62" s="69"/>
      <c r="E62" s="69"/>
      <c r="F62" s="69"/>
      <c r="G62" s="69"/>
      <c r="H62" s="69"/>
      <c r="I62" s="69"/>
      <c r="J62" s="69"/>
      <c r="K62" s="69"/>
      <c r="L62" s="69"/>
      <c r="M62" s="69"/>
      <c r="N62" s="69"/>
      <c r="O62" s="69"/>
      <c r="P62" s="69"/>
      <c r="Q62" s="69"/>
      <c r="R62" s="69"/>
      <c r="S62" s="69"/>
    </row>
    <row r="63" spans="1:19" x14ac:dyDescent="0.2">
      <c r="A63" s="69"/>
      <c r="B63" s="69"/>
      <c r="C63" s="69"/>
      <c r="D63" s="69"/>
      <c r="E63" s="69"/>
      <c r="F63" s="69"/>
      <c r="G63" s="69"/>
      <c r="H63" s="69"/>
      <c r="I63" s="69"/>
      <c r="J63" s="69"/>
      <c r="K63" s="69"/>
      <c r="L63" s="69"/>
      <c r="M63" s="69"/>
      <c r="N63" s="69"/>
      <c r="O63" s="69"/>
      <c r="P63" s="69"/>
      <c r="Q63" s="69"/>
      <c r="R63" s="69"/>
      <c r="S63" s="69"/>
    </row>
    <row r="64" spans="1:19" x14ac:dyDescent="0.2">
      <c r="A64" s="69"/>
      <c r="B64" s="69"/>
      <c r="C64" s="69"/>
      <c r="D64" s="69"/>
      <c r="E64" s="69"/>
      <c r="F64" s="69"/>
      <c r="G64" s="69"/>
      <c r="H64" s="69"/>
      <c r="I64" s="69"/>
      <c r="J64" s="69"/>
      <c r="K64" s="69"/>
      <c r="L64" s="69"/>
      <c r="M64" s="69"/>
      <c r="N64" s="69"/>
      <c r="O64" s="69"/>
      <c r="P64" s="69"/>
      <c r="Q64" s="69"/>
      <c r="R64" s="69"/>
      <c r="S64" s="69"/>
    </row>
    <row r="65" spans="1:19" x14ac:dyDescent="0.2">
      <c r="A65" s="69"/>
      <c r="B65" s="69"/>
      <c r="C65" s="69"/>
      <c r="D65" s="69"/>
      <c r="E65" s="69"/>
      <c r="F65" s="69"/>
      <c r="G65" s="69"/>
      <c r="H65" s="69"/>
      <c r="I65" s="69"/>
      <c r="J65" s="69"/>
      <c r="K65" s="69"/>
      <c r="L65" s="69"/>
      <c r="M65" s="69"/>
      <c r="N65" s="69"/>
      <c r="O65" s="69"/>
      <c r="P65" s="69"/>
      <c r="Q65" s="69"/>
      <c r="R65" s="69"/>
      <c r="S65" s="69"/>
    </row>
    <row r="66" spans="1:19" x14ac:dyDescent="0.2">
      <c r="A66" s="69"/>
      <c r="B66" s="69"/>
      <c r="C66" s="69"/>
      <c r="D66" s="69"/>
      <c r="E66" s="69"/>
      <c r="F66" s="69"/>
      <c r="G66" s="69"/>
      <c r="H66" s="69"/>
      <c r="I66" s="69"/>
      <c r="J66" s="69"/>
      <c r="K66" s="69"/>
      <c r="L66" s="69"/>
      <c r="M66" s="69"/>
      <c r="N66" s="69"/>
      <c r="O66" s="69"/>
      <c r="P66" s="69"/>
      <c r="Q66" s="69"/>
      <c r="R66" s="69"/>
      <c r="S66" s="69"/>
    </row>
    <row r="67" spans="1:19" x14ac:dyDescent="0.2">
      <c r="A67" s="69"/>
      <c r="B67" s="69"/>
      <c r="C67" s="69"/>
      <c r="D67" s="69"/>
      <c r="E67" s="69"/>
      <c r="F67" s="69"/>
      <c r="G67" s="69"/>
      <c r="H67" s="69"/>
      <c r="I67" s="69"/>
      <c r="J67" s="69"/>
      <c r="K67" s="69"/>
      <c r="L67" s="69"/>
      <c r="M67" s="69"/>
      <c r="N67" s="69"/>
      <c r="O67" s="69"/>
      <c r="P67" s="69"/>
      <c r="Q67" s="69"/>
      <c r="R67" s="69"/>
      <c r="S67" s="69"/>
    </row>
    <row r="68" spans="1:19" x14ac:dyDescent="0.2">
      <c r="A68" s="69"/>
      <c r="B68" s="69"/>
      <c r="C68" s="69"/>
      <c r="D68" s="69"/>
      <c r="E68" s="69"/>
      <c r="F68" s="69"/>
      <c r="G68" s="69"/>
      <c r="H68" s="69"/>
      <c r="I68" s="69"/>
      <c r="J68" s="69"/>
      <c r="K68" s="69"/>
      <c r="L68" s="69"/>
      <c r="M68" s="69"/>
      <c r="N68" s="69"/>
      <c r="O68" s="69"/>
      <c r="P68" s="69"/>
      <c r="Q68" s="69"/>
      <c r="R68" s="69"/>
      <c r="S68" s="69"/>
    </row>
    <row r="69" spans="1:19" x14ac:dyDescent="0.2">
      <c r="A69" s="69"/>
      <c r="B69" s="69"/>
      <c r="C69" s="69"/>
      <c r="D69" s="69"/>
      <c r="E69" s="69"/>
      <c r="F69" s="69"/>
      <c r="G69" s="69"/>
      <c r="H69" s="69"/>
      <c r="I69" s="69"/>
      <c r="J69" s="69"/>
      <c r="K69" s="69"/>
      <c r="L69" s="69"/>
      <c r="M69" s="69"/>
      <c r="N69" s="69"/>
      <c r="O69" s="69"/>
      <c r="P69" s="69"/>
      <c r="Q69" s="69"/>
      <c r="R69" s="69"/>
      <c r="S69" s="69"/>
    </row>
  </sheetData>
  <sheetProtection algorithmName="SHA-512" hashValue="VruGc10TpmSbAkDqO/kSzgYNo7aJhodNg+fIbW8aarsNsCEn4vf7agS7/cB+vp0fLS+vlZ+0wGR3+T50zWmPIA==" saltValue="UyDPmk7N4Rqd1lJbG7SQcw==" spinCount="100000" sheet="1" formatCells="0" formatColumns="0" formatRows="0" insertColumns="0" insertRows="0" insertHyperlinks="0" deleteColumns="0" deleteRows="0" sort="0" autoFilter="0" pivotTables="0"/>
  <phoneticPr fontId="0" type="noConversion"/>
  <pageMargins left="0.75" right="0.75" top="1" bottom="1" header="0.5" footer="0.5"/>
  <pageSetup paperSize="9" scale="88" orientation="portrait" horizontalDpi="4294967293"/>
  <headerFooter alignWithMargins="0"/>
  <rowBreaks count="1" manualBreakCount="1">
    <brk id="50"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2:L265"/>
  <sheetViews>
    <sheetView workbookViewId="0">
      <selection activeCell="D11" sqref="D11"/>
    </sheetView>
  </sheetViews>
  <sheetFormatPr defaultColWidth="11.42578125" defaultRowHeight="12.75" x14ac:dyDescent="0.2"/>
  <cols>
    <col min="1" max="1" width="5" style="67" customWidth="1"/>
    <col min="2" max="2" width="40.85546875" style="67" customWidth="1"/>
    <col min="3" max="3" width="14" style="67" customWidth="1"/>
    <col min="4" max="4" width="15.5703125" style="67" customWidth="1"/>
    <col min="5" max="5" width="10.5703125" style="67" bestFit="1" customWidth="1"/>
    <col min="6" max="6" width="10.28515625" style="67" bestFit="1" customWidth="1"/>
    <col min="7" max="7" width="6.7109375" style="67" bestFit="1" customWidth="1"/>
    <col min="8" max="8" width="9.140625" style="67" bestFit="1" customWidth="1"/>
    <col min="9" max="9" width="10" style="67" bestFit="1" customWidth="1"/>
    <col min="10" max="10" width="10.42578125" style="67" customWidth="1"/>
    <col min="11" max="16384" width="11.42578125" style="67"/>
  </cols>
  <sheetData>
    <row r="2" spans="1:12" ht="18" x14ac:dyDescent="0.25">
      <c r="A2" s="1"/>
      <c r="B2" s="567" t="s">
        <v>352</v>
      </c>
      <c r="C2" s="567"/>
      <c r="D2" s="567"/>
      <c r="E2" s="567"/>
      <c r="F2" s="567"/>
      <c r="G2" s="567"/>
      <c r="H2" s="567"/>
      <c r="I2" s="567"/>
      <c r="J2" s="567"/>
    </row>
    <row r="3" spans="1:12" x14ac:dyDescent="0.2">
      <c r="A3" s="1"/>
      <c r="B3" s="28" t="s">
        <v>3</v>
      </c>
      <c r="C3" s="1"/>
      <c r="D3" s="1"/>
      <c r="E3" s="1"/>
      <c r="F3" s="1"/>
      <c r="G3" s="1"/>
      <c r="H3" s="1"/>
      <c r="I3" s="1"/>
      <c r="J3" s="1"/>
      <c r="K3" s="1"/>
      <c r="L3" s="1"/>
    </row>
    <row r="4" spans="1:12" ht="23.25" customHeight="1" x14ac:dyDescent="0.2">
      <c r="A4" s="1"/>
      <c r="B4" s="571" t="s">
        <v>23</v>
      </c>
      <c r="C4" s="571"/>
      <c r="D4" s="571"/>
      <c r="E4" s="571"/>
      <c r="F4" s="571"/>
      <c r="G4" s="571"/>
      <c r="H4" s="571"/>
      <c r="I4" s="571"/>
      <c r="J4" s="571"/>
      <c r="K4" s="1"/>
      <c r="L4" s="1"/>
    </row>
    <row r="5" spans="1:12" ht="34.5" customHeight="1" x14ac:dyDescent="0.2">
      <c r="A5" s="1"/>
      <c r="B5" s="364" t="s">
        <v>349</v>
      </c>
      <c r="C5" s="365" t="s">
        <v>8</v>
      </c>
      <c r="D5" s="365" t="s">
        <v>9</v>
      </c>
      <c r="E5" s="365" t="s">
        <v>10</v>
      </c>
      <c r="F5" s="365" t="s">
        <v>346</v>
      </c>
      <c r="G5" s="366" t="s">
        <v>7</v>
      </c>
      <c r="H5" s="365" t="s">
        <v>347</v>
      </c>
      <c r="I5" s="365" t="s">
        <v>82</v>
      </c>
      <c r="J5" s="365" t="s">
        <v>348</v>
      </c>
      <c r="K5" s="1"/>
      <c r="L5" s="1"/>
    </row>
    <row r="6" spans="1:12" ht="12" hidden="1" customHeight="1" x14ac:dyDescent="0.2">
      <c r="A6" s="1"/>
      <c r="B6" s="344"/>
      <c r="C6" s="345"/>
      <c r="D6" s="345"/>
      <c r="E6" s="345"/>
      <c r="F6" s="345"/>
      <c r="G6" s="346"/>
      <c r="H6" s="345"/>
      <c r="I6" s="347"/>
      <c r="J6" s="345"/>
      <c r="K6" s="1"/>
      <c r="L6" s="1"/>
    </row>
    <row r="7" spans="1:12" x14ac:dyDescent="0.2">
      <c r="A7" s="1"/>
      <c r="B7" s="348" t="str">
        <f>+'06 Diet formulation'!B6</f>
        <v>Beef liver powder</v>
      </c>
      <c r="C7" s="349">
        <f>+'07 Diet requirements'!C5</f>
        <v>0.322245</v>
      </c>
      <c r="D7" s="350">
        <f>+'07 Diet requirements'!D5</f>
        <v>2.2557149999999999</v>
      </c>
      <c r="E7" s="363">
        <v>90</v>
      </c>
      <c r="F7" s="363">
        <v>6</v>
      </c>
      <c r="G7" s="363">
        <v>25</v>
      </c>
      <c r="H7" s="351">
        <f t="shared" ref="H7:H13" si="0">IF(G7=0,"",ROUNDUP(C7*E7/G7/F7,0))</f>
        <v>1</v>
      </c>
      <c r="I7" s="363">
        <v>1</v>
      </c>
      <c r="J7" s="352">
        <f t="shared" ref="J7:J13" si="1">IF(H7="","",H7/I7)</f>
        <v>1</v>
      </c>
      <c r="K7" s="1"/>
      <c r="L7" s="1"/>
    </row>
    <row r="8" spans="1:12" x14ac:dyDescent="0.2">
      <c r="A8" s="1"/>
      <c r="B8" s="348" t="str">
        <f>+'06 Diet formulation'!B7</f>
        <v>Tuna meal</v>
      </c>
      <c r="C8" s="349">
        <f>+'07 Diet requirements'!C6</f>
        <v>0.46035000000000004</v>
      </c>
      <c r="D8" s="350">
        <f>+'07 Diet requirements'!D6</f>
        <v>3.2224500000000003</v>
      </c>
      <c r="E8" s="363">
        <v>90</v>
      </c>
      <c r="F8" s="363">
        <v>6</v>
      </c>
      <c r="G8" s="363">
        <v>25</v>
      </c>
      <c r="H8" s="351">
        <f t="shared" si="0"/>
        <v>1</v>
      </c>
      <c r="I8" s="363">
        <v>1</v>
      </c>
      <c r="J8" s="352">
        <f t="shared" si="1"/>
        <v>1</v>
      </c>
      <c r="K8" s="1"/>
      <c r="L8" s="1"/>
    </row>
    <row r="9" spans="1:12" x14ac:dyDescent="0.2">
      <c r="A9" s="1"/>
      <c r="B9" s="348" t="str">
        <f>+'06 Diet formulation'!B8</f>
        <v>Brewer yeast</v>
      </c>
      <c r="C9" s="349">
        <f>+'07 Diet requirements'!C7</f>
        <v>0.13810500000000001</v>
      </c>
      <c r="D9" s="350">
        <f>+'07 Diet requirements'!D7</f>
        <v>0.96673500000000001</v>
      </c>
      <c r="E9" s="363">
        <v>90</v>
      </c>
      <c r="F9" s="363">
        <v>6</v>
      </c>
      <c r="G9" s="363">
        <v>25</v>
      </c>
      <c r="H9" s="351">
        <f t="shared" si="0"/>
        <v>1</v>
      </c>
      <c r="I9" s="363">
        <v>1</v>
      </c>
      <c r="J9" s="352">
        <f t="shared" si="1"/>
        <v>1</v>
      </c>
      <c r="K9" s="1"/>
      <c r="L9" s="1"/>
    </row>
    <row r="10" spans="1:12" x14ac:dyDescent="0.2">
      <c r="A10" s="1"/>
      <c r="B10" s="331" t="s">
        <v>210</v>
      </c>
      <c r="C10" s="349">
        <f>+'07 Diet requirements'!C8</f>
        <v>0</v>
      </c>
      <c r="D10" s="350">
        <f>+'07 Diet requirements'!D8</f>
        <v>0</v>
      </c>
      <c r="E10" s="363">
        <v>90</v>
      </c>
      <c r="F10" s="363">
        <v>6</v>
      </c>
      <c r="G10" s="363">
        <v>25</v>
      </c>
      <c r="H10" s="351">
        <f t="shared" si="0"/>
        <v>0</v>
      </c>
      <c r="I10" s="363">
        <v>1</v>
      </c>
      <c r="J10" s="352">
        <f t="shared" si="1"/>
        <v>0</v>
      </c>
      <c r="K10" s="1"/>
      <c r="L10" s="1"/>
    </row>
    <row r="11" spans="1:12" x14ac:dyDescent="0.2">
      <c r="A11" s="1"/>
      <c r="B11" s="331" t="s">
        <v>196</v>
      </c>
      <c r="C11" s="349">
        <f>+'07 Diet requirements'!C9</f>
        <v>0</v>
      </c>
      <c r="D11" s="350">
        <f>+'07 Diet requirements'!D9</f>
        <v>0</v>
      </c>
      <c r="E11" s="363">
        <v>90</v>
      </c>
      <c r="F11" s="363">
        <v>6</v>
      </c>
      <c r="G11" s="363">
        <v>25</v>
      </c>
      <c r="H11" s="351">
        <f t="shared" si="0"/>
        <v>0</v>
      </c>
      <c r="I11" s="363">
        <v>1</v>
      </c>
      <c r="J11" s="352">
        <f t="shared" si="1"/>
        <v>0</v>
      </c>
      <c r="K11" s="1"/>
      <c r="L11" s="1"/>
    </row>
    <row r="12" spans="1:12" x14ac:dyDescent="0.2">
      <c r="A12" s="1"/>
      <c r="B12" s="331" t="s">
        <v>197</v>
      </c>
      <c r="C12" s="349">
        <f>+'07 Diet requirements'!C10</f>
        <v>0</v>
      </c>
      <c r="D12" s="350">
        <f>+'07 Diet requirements'!D10</f>
        <v>0</v>
      </c>
      <c r="E12" s="363">
        <v>90</v>
      </c>
      <c r="F12" s="363">
        <v>6</v>
      </c>
      <c r="G12" s="363">
        <v>25</v>
      </c>
      <c r="H12" s="351">
        <f t="shared" si="0"/>
        <v>0</v>
      </c>
      <c r="I12" s="363">
        <v>1</v>
      </c>
      <c r="J12" s="352">
        <f t="shared" si="1"/>
        <v>0</v>
      </c>
      <c r="K12" s="1"/>
      <c r="L12" s="1"/>
    </row>
    <row r="13" spans="1:12" x14ac:dyDescent="0.2">
      <c r="A13" s="1"/>
      <c r="B13" s="348" t="s">
        <v>33</v>
      </c>
      <c r="C13" s="353">
        <f>+'07 Diet requirements'!C20</f>
        <v>1.6319999999999999</v>
      </c>
      <c r="D13" s="176">
        <f>+'07 Diet requirements'!D20</f>
        <v>11.423999999999999</v>
      </c>
      <c r="E13" s="363">
        <v>90</v>
      </c>
      <c r="F13" s="363">
        <v>6</v>
      </c>
      <c r="G13" s="363">
        <v>50</v>
      </c>
      <c r="H13" s="351">
        <f t="shared" si="0"/>
        <v>1</v>
      </c>
      <c r="I13" s="363">
        <v>1</v>
      </c>
      <c r="J13" s="352">
        <f t="shared" si="1"/>
        <v>1</v>
      </c>
      <c r="K13" s="1"/>
      <c r="L13" s="1"/>
    </row>
    <row r="14" spans="1:12" x14ac:dyDescent="0.2">
      <c r="A14" s="1"/>
      <c r="B14" s="348" t="s">
        <v>34</v>
      </c>
      <c r="C14" s="354">
        <f>+'07 Diet requirements'!C22</f>
        <v>0.19125</v>
      </c>
      <c r="D14" s="355">
        <f>+'07 Diet requirements'!D22</f>
        <v>1.3387500000000001</v>
      </c>
      <c r="E14" s="356"/>
      <c r="F14" s="357"/>
      <c r="G14" s="357"/>
      <c r="H14" s="358"/>
      <c r="I14" s="357"/>
      <c r="J14" s="359"/>
      <c r="K14" s="1"/>
      <c r="L14" s="1"/>
    </row>
    <row r="15" spans="1:12" ht="25.5" x14ac:dyDescent="0.2">
      <c r="A15" s="1"/>
      <c r="B15" s="348" t="s">
        <v>60</v>
      </c>
      <c r="C15" s="360">
        <f>+'07 Diet requirements'!C12+'07 Diet requirements'!C17</f>
        <v>223.7055</v>
      </c>
      <c r="D15" s="361">
        <f>+'07 Diet requirements'!D12+'07 Diet requirements'!D17</f>
        <v>1565.9385000000002</v>
      </c>
      <c r="E15" s="357"/>
      <c r="F15" s="357"/>
      <c r="G15" s="357"/>
      <c r="H15" s="358"/>
      <c r="I15" s="357"/>
      <c r="J15" s="359"/>
      <c r="K15" s="1"/>
      <c r="L15" s="1"/>
    </row>
    <row r="16" spans="1:12" x14ac:dyDescent="0.2">
      <c r="A16" s="1"/>
      <c r="B16" s="572" t="s">
        <v>1</v>
      </c>
      <c r="C16" s="573"/>
      <c r="D16" s="573"/>
      <c r="E16" s="573"/>
      <c r="F16" s="573"/>
      <c r="G16" s="573"/>
      <c r="H16" s="573"/>
      <c r="I16" s="574"/>
      <c r="J16" s="362">
        <f>SUM(J7:J15)</f>
        <v>4</v>
      </c>
      <c r="K16" s="1"/>
      <c r="L16" s="1"/>
    </row>
    <row r="17" spans="1:12" x14ac:dyDescent="0.2">
      <c r="A17" s="1"/>
      <c r="B17" s="29"/>
      <c r="C17" s="30"/>
      <c r="D17" s="30"/>
      <c r="E17" s="1"/>
      <c r="F17" s="1"/>
      <c r="G17" s="1"/>
      <c r="H17" s="1"/>
      <c r="I17" s="1"/>
      <c r="J17" s="1"/>
      <c r="K17" s="1"/>
      <c r="L17" s="1"/>
    </row>
    <row r="18" spans="1:12" x14ac:dyDescent="0.2">
      <c r="A18" s="1"/>
      <c r="B18" s="1"/>
      <c r="C18" s="1"/>
      <c r="D18" s="31"/>
      <c r="E18" s="1"/>
      <c r="F18" s="1"/>
      <c r="G18" s="1"/>
      <c r="H18" s="1"/>
      <c r="I18" s="1"/>
      <c r="J18" s="1"/>
      <c r="K18" s="1"/>
      <c r="L18" s="1"/>
    </row>
    <row r="19" spans="1:12" x14ac:dyDescent="0.2">
      <c r="A19" s="1"/>
      <c r="B19" s="1"/>
      <c r="C19" s="1"/>
      <c r="D19" s="1"/>
      <c r="E19" s="1"/>
      <c r="F19" s="1"/>
      <c r="G19" s="1"/>
      <c r="H19" s="1"/>
      <c r="I19" s="1"/>
      <c r="J19" s="1"/>
      <c r="K19" s="1"/>
      <c r="L19" s="1"/>
    </row>
    <row r="20" spans="1:12" x14ac:dyDescent="0.2">
      <c r="A20" s="1"/>
      <c r="B20" s="1"/>
      <c r="C20" s="1"/>
      <c r="D20" s="1"/>
      <c r="E20" s="1"/>
      <c r="F20" s="1"/>
      <c r="G20" s="1"/>
      <c r="H20" s="1"/>
      <c r="I20" s="1"/>
      <c r="J20" s="1"/>
      <c r="K20" s="1"/>
      <c r="L20" s="1"/>
    </row>
    <row r="21" spans="1:12" x14ac:dyDescent="0.2">
      <c r="A21" s="1"/>
      <c r="B21" s="1"/>
      <c r="C21" s="1"/>
      <c r="D21" s="1"/>
      <c r="E21" s="1"/>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1"/>
      <c r="B27" s="1"/>
      <c r="C27" s="1"/>
      <c r="D27" s="1"/>
      <c r="E27" s="1"/>
      <c r="F27" s="1"/>
      <c r="G27" s="1"/>
      <c r="H27" s="1"/>
      <c r="I27" s="1"/>
      <c r="J27" s="1"/>
      <c r="K27" s="1"/>
      <c r="L27" s="1"/>
    </row>
    <row r="28" spans="1:12" x14ac:dyDescent="0.2">
      <c r="A28" s="1"/>
      <c r="B28" s="1"/>
      <c r="C28" s="1"/>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A35" s="1"/>
      <c r="B35" s="1"/>
      <c r="C35" s="1"/>
      <c r="D35" s="1"/>
      <c r="E35" s="1"/>
      <c r="F35" s="1"/>
      <c r="G35" s="1"/>
      <c r="H35" s="1"/>
      <c r="I35" s="1"/>
      <c r="J35" s="1"/>
      <c r="K35" s="1"/>
      <c r="L35" s="1"/>
    </row>
    <row r="36" spans="1:12" x14ac:dyDescent="0.2">
      <c r="A36" s="1"/>
      <c r="B36" s="1"/>
      <c r="C36" s="1"/>
      <c r="D36" s="1"/>
      <c r="E36" s="1"/>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x14ac:dyDescent="0.2">
      <c r="A44" s="1"/>
      <c r="B44" s="1"/>
      <c r="C44" s="1"/>
      <c r="D44" s="1"/>
      <c r="E44" s="1"/>
      <c r="F44" s="1"/>
      <c r="G44" s="1"/>
      <c r="H44" s="1"/>
      <c r="I44" s="1"/>
      <c r="J44" s="1"/>
      <c r="K44" s="1"/>
      <c r="L44" s="1"/>
    </row>
    <row r="45" spans="1:12" x14ac:dyDescent="0.2">
      <c r="A45" s="1"/>
      <c r="B45" s="1"/>
      <c r="C45" s="1"/>
      <c r="D45" s="1"/>
      <c r="E45" s="1"/>
      <c r="F45" s="1"/>
      <c r="G45" s="1"/>
      <c r="H45" s="1"/>
      <c r="I45" s="1"/>
      <c r="J45" s="1"/>
      <c r="K45" s="1"/>
      <c r="L45" s="1"/>
    </row>
    <row r="46" spans="1:12" x14ac:dyDescent="0.2">
      <c r="A46" s="1"/>
      <c r="B46" s="1"/>
      <c r="C46" s="1"/>
      <c r="D46" s="1"/>
      <c r="E46" s="1"/>
      <c r="F46" s="1"/>
      <c r="G46" s="1"/>
      <c r="H46" s="1"/>
      <c r="I46" s="1"/>
      <c r="J46" s="1"/>
      <c r="K46" s="1"/>
      <c r="L46" s="1"/>
    </row>
    <row r="47" spans="1:12" x14ac:dyDescent="0.2">
      <c r="A47" s="1"/>
      <c r="B47" s="1"/>
      <c r="C47" s="1"/>
      <c r="D47" s="1"/>
      <c r="E47" s="1"/>
      <c r="F47" s="1"/>
      <c r="G47" s="1"/>
      <c r="H47" s="1"/>
      <c r="I47" s="1"/>
      <c r="J47" s="1"/>
      <c r="K47" s="1"/>
      <c r="L47" s="1"/>
    </row>
    <row r="48" spans="1:12" x14ac:dyDescent="0.2">
      <c r="A48" s="1"/>
      <c r="B48" s="1"/>
      <c r="C48" s="1"/>
      <c r="D48" s="1"/>
      <c r="E48" s="1"/>
      <c r="F48" s="1"/>
      <c r="G48" s="1"/>
      <c r="H48" s="1"/>
      <c r="I48" s="1"/>
      <c r="J48" s="1"/>
      <c r="K48" s="1"/>
      <c r="L48" s="1"/>
    </row>
    <row r="49" spans="1:12" x14ac:dyDescent="0.2">
      <c r="A49" s="1"/>
      <c r="B49" s="1"/>
      <c r="C49" s="1"/>
      <c r="D49" s="1"/>
      <c r="E49" s="1"/>
      <c r="F49" s="1"/>
      <c r="G49" s="1"/>
      <c r="H49" s="1"/>
      <c r="I49" s="1"/>
      <c r="J49" s="1"/>
      <c r="K49" s="1"/>
      <c r="L49" s="1"/>
    </row>
    <row r="50" spans="1:12" x14ac:dyDescent="0.2">
      <c r="A50" s="1"/>
      <c r="B50" s="1"/>
      <c r="C50" s="1"/>
      <c r="D50" s="1"/>
      <c r="E50" s="1"/>
      <c r="F50" s="1"/>
      <c r="G50" s="1"/>
      <c r="H50" s="1"/>
      <c r="I50" s="1"/>
      <c r="J50" s="1"/>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row r="58" spans="1:12" x14ac:dyDescent="0.2">
      <c r="A58" s="1"/>
      <c r="B58" s="1"/>
      <c r="C58" s="1"/>
      <c r="D58" s="1"/>
      <c r="E58" s="1"/>
      <c r="F58" s="1"/>
      <c r="G58" s="1"/>
      <c r="H58" s="1"/>
      <c r="I58" s="1"/>
      <c r="J58" s="1"/>
      <c r="K58" s="1"/>
      <c r="L58" s="1"/>
    </row>
    <row r="59" spans="1:12" x14ac:dyDescent="0.2">
      <c r="A59" s="1"/>
      <c r="B59" s="1"/>
      <c r="C59" s="1"/>
      <c r="D59" s="1"/>
      <c r="E59" s="1"/>
      <c r="F59" s="1"/>
      <c r="G59" s="1"/>
      <c r="H59" s="1"/>
      <c r="I59" s="1"/>
      <c r="J59" s="1"/>
      <c r="K59" s="1"/>
      <c r="L59" s="1"/>
    </row>
    <row r="60" spans="1:12" x14ac:dyDescent="0.2">
      <c r="A60" s="1"/>
      <c r="B60" s="1"/>
      <c r="C60" s="1"/>
      <c r="D60" s="1"/>
      <c r="E60" s="1"/>
      <c r="F60" s="1"/>
      <c r="G60" s="1"/>
      <c r="H60" s="1"/>
      <c r="I60" s="1"/>
      <c r="J60" s="1"/>
      <c r="K60" s="1"/>
      <c r="L60" s="1"/>
    </row>
    <row r="61" spans="1:12" x14ac:dyDescent="0.2">
      <c r="A61" s="1"/>
      <c r="B61" s="1"/>
      <c r="C61" s="1"/>
      <c r="D61" s="1"/>
      <c r="E61" s="1"/>
      <c r="F61" s="1"/>
      <c r="G61" s="1"/>
      <c r="H61" s="1"/>
      <c r="I61" s="1"/>
      <c r="J61" s="1"/>
      <c r="K61" s="1"/>
      <c r="L61" s="1"/>
    </row>
    <row r="62" spans="1:12" x14ac:dyDescent="0.2">
      <c r="A62" s="1"/>
      <c r="B62" s="1"/>
      <c r="C62" s="1"/>
      <c r="D62" s="1"/>
      <c r="E62" s="1"/>
      <c r="F62" s="1"/>
      <c r="G62" s="1"/>
      <c r="H62" s="1"/>
      <c r="I62" s="1"/>
      <c r="J62" s="1"/>
      <c r="K62" s="1"/>
      <c r="L62" s="1"/>
    </row>
    <row r="63" spans="1:12" x14ac:dyDescent="0.2">
      <c r="A63" s="1"/>
      <c r="B63" s="1"/>
      <c r="C63" s="1"/>
      <c r="D63" s="1"/>
      <c r="E63" s="1"/>
      <c r="F63" s="1"/>
      <c r="G63" s="1"/>
      <c r="H63" s="1"/>
      <c r="I63" s="1"/>
      <c r="J63" s="1"/>
      <c r="K63" s="1"/>
      <c r="L63" s="1"/>
    </row>
    <row r="64" spans="1:12" x14ac:dyDescent="0.2">
      <c r="A64" s="1"/>
      <c r="B64" s="1"/>
      <c r="C64" s="1"/>
      <c r="D64" s="1"/>
      <c r="E64" s="1"/>
      <c r="F64" s="1"/>
      <c r="G64" s="1"/>
      <c r="H64" s="1"/>
      <c r="I64" s="1"/>
      <c r="J64" s="1"/>
      <c r="K64" s="1"/>
      <c r="L64" s="1"/>
    </row>
    <row r="65" spans="1:12" x14ac:dyDescent="0.2">
      <c r="A65" s="1"/>
      <c r="B65" s="1"/>
      <c r="C65" s="1"/>
      <c r="D65" s="1"/>
      <c r="E65" s="1"/>
      <c r="F65" s="1"/>
      <c r="G65" s="1"/>
      <c r="H65" s="1"/>
      <c r="I65" s="1"/>
      <c r="J65" s="1"/>
      <c r="K65" s="1"/>
      <c r="L65" s="1"/>
    </row>
    <row r="66" spans="1:12" x14ac:dyDescent="0.2">
      <c r="A66" s="1"/>
      <c r="B66" s="1"/>
      <c r="C66" s="1"/>
      <c r="D66" s="1"/>
      <c r="E66" s="1"/>
      <c r="F66" s="1"/>
      <c r="G66" s="1"/>
      <c r="H66" s="1"/>
      <c r="I66" s="1"/>
      <c r="J66" s="1"/>
      <c r="K66" s="1"/>
      <c r="L66" s="1"/>
    </row>
    <row r="67" spans="1:12" x14ac:dyDescent="0.2">
      <c r="A67" s="1"/>
      <c r="B67" s="1"/>
      <c r="C67" s="1"/>
      <c r="D67" s="1"/>
      <c r="E67" s="1"/>
      <c r="F67" s="1"/>
      <c r="G67" s="1"/>
      <c r="H67" s="1"/>
      <c r="I67" s="1"/>
      <c r="J67" s="1"/>
      <c r="K67" s="1"/>
      <c r="L67" s="1"/>
    </row>
    <row r="68" spans="1:12" x14ac:dyDescent="0.2">
      <c r="A68" s="1"/>
      <c r="B68" s="1"/>
      <c r="C68" s="1"/>
      <c r="D68" s="1"/>
      <c r="E68" s="1"/>
      <c r="F68" s="1"/>
      <c r="G68" s="1"/>
      <c r="H68" s="1"/>
      <c r="I68" s="1"/>
      <c r="J68" s="1"/>
      <c r="K68" s="1"/>
      <c r="L68" s="1"/>
    </row>
    <row r="69" spans="1:12" x14ac:dyDescent="0.2">
      <c r="A69" s="1"/>
      <c r="B69" s="1"/>
      <c r="C69" s="1"/>
      <c r="D69" s="1"/>
      <c r="E69" s="1"/>
      <c r="F69" s="1"/>
      <c r="G69" s="1"/>
      <c r="H69" s="1"/>
      <c r="I69" s="1"/>
      <c r="J69" s="1"/>
      <c r="K69" s="1"/>
      <c r="L69" s="1"/>
    </row>
    <row r="70" spans="1:12" x14ac:dyDescent="0.2">
      <c r="A70" s="1"/>
      <c r="B70" s="1"/>
      <c r="C70" s="1"/>
      <c r="D70" s="1"/>
      <c r="E70" s="1"/>
      <c r="F70" s="1"/>
      <c r="G70" s="1"/>
      <c r="H70" s="1"/>
      <c r="I70" s="1"/>
      <c r="J70" s="1"/>
      <c r="K70" s="1"/>
      <c r="L70" s="1"/>
    </row>
    <row r="71" spans="1:12" x14ac:dyDescent="0.2">
      <c r="A71" s="1"/>
      <c r="B71" s="1"/>
      <c r="C71" s="1"/>
      <c r="D71" s="1"/>
      <c r="E71" s="1"/>
      <c r="F71" s="1"/>
      <c r="G71" s="1"/>
      <c r="H71" s="1"/>
      <c r="I71" s="1"/>
      <c r="J71" s="1"/>
      <c r="K71" s="1"/>
      <c r="L71" s="1"/>
    </row>
    <row r="72" spans="1:12" x14ac:dyDescent="0.2">
      <c r="A72" s="1"/>
      <c r="B72" s="1"/>
      <c r="C72" s="1"/>
      <c r="D72" s="1"/>
      <c r="E72" s="1"/>
      <c r="F72" s="1"/>
      <c r="G72" s="1"/>
      <c r="H72" s="1"/>
      <c r="I72" s="1"/>
      <c r="J72" s="1"/>
      <c r="K72" s="1"/>
      <c r="L72" s="1"/>
    </row>
    <row r="73" spans="1:12" x14ac:dyDescent="0.2">
      <c r="A73" s="1"/>
      <c r="B73" s="1"/>
      <c r="C73" s="1"/>
      <c r="D73" s="1"/>
      <c r="E73" s="1"/>
      <c r="F73" s="1"/>
      <c r="G73" s="1"/>
      <c r="H73" s="1"/>
      <c r="I73" s="1"/>
      <c r="J73" s="1"/>
      <c r="K73" s="1"/>
      <c r="L73" s="1"/>
    </row>
    <row r="74" spans="1:12" x14ac:dyDescent="0.2">
      <c r="A74" s="1"/>
      <c r="B74" s="1"/>
      <c r="C74" s="1"/>
      <c r="D74" s="1"/>
      <c r="E74" s="1"/>
      <c r="F74" s="1"/>
      <c r="G74" s="1"/>
      <c r="H74" s="1"/>
      <c r="I74" s="1"/>
      <c r="J74" s="1"/>
      <c r="K74" s="1"/>
      <c r="L74" s="1"/>
    </row>
    <row r="75" spans="1:12" x14ac:dyDescent="0.2">
      <c r="A75" s="1"/>
      <c r="B75" s="1"/>
      <c r="C75" s="1"/>
      <c r="D75" s="1"/>
      <c r="E75" s="1"/>
      <c r="F75" s="1"/>
      <c r="G75" s="1"/>
      <c r="H75" s="1"/>
      <c r="I75" s="1"/>
      <c r="J75" s="1"/>
      <c r="K75" s="1"/>
      <c r="L75" s="1"/>
    </row>
    <row r="76" spans="1:12" x14ac:dyDescent="0.2">
      <c r="A76" s="1"/>
      <c r="B76" s="1"/>
      <c r="C76" s="1"/>
      <c r="D76" s="1"/>
      <c r="E76" s="1"/>
      <c r="F76" s="1"/>
      <c r="G76" s="1"/>
      <c r="H76" s="1"/>
      <c r="I76" s="1"/>
      <c r="J76" s="1"/>
      <c r="K76" s="1"/>
      <c r="L76" s="1"/>
    </row>
    <row r="77" spans="1:12" x14ac:dyDescent="0.2">
      <c r="A77" s="1"/>
      <c r="B77" s="1"/>
      <c r="C77" s="1"/>
      <c r="D77" s="1"/>
      <c r="E77" s="1"/>
      <c r="F77" s="1"/>
      <c r="G77" s="1"/>
      <c r="H77" s="1"/>
      <c r="I77" s="1"/>
      <c r="J77" s="1"/>
      <c r="K77" s="1"/>
      <c r="L77" s="1"/>
    </row>
    <row r="78" spans="1:12" x14ac:dyDescent="0.2">
      <c r="A78" s="1"/>
      <c r="B78" s="1"/>
      <c r="C78" s="1"/>
      <c r="D78" s="1"/>
      <c r="E78" s="1"/>
      <c r="F78" s="1"/>
      <c r="G78" s="1"/>
      <c r="H78" s="1"/>
      <c r="I78" s="1"/>
      <c r="J78" s="1"/>
      <c r="K78" s="1"/>
      <c r="L78" s="1"/>
    </row>
    <row r="79" spans="1:12" x14ac:dyDescent="0.2">
      <c r="A79" s="1"/>
      <c r="B79" s="1"/>
      <c r="C79" s="1"/>
      <c r="D79" s="1"/>
      <c r="E79" s="1"/>
      <c r="F79" s="1"/>
      <c r="G79" s="1"/>
      <c r="H79" s="1"/>
      <c r="I79" s="1"/>
      <c r="J79" s="1"/>
      <c r="K79" s="1"/>
      <c r="L79" s="1"/>
    </row>
    <row r="80" spans="1:12" x14ac:dyDescent="0.2">
      <c r="A80" s="1"/>
      <c r="B80" s="1"/>
      <c r="C80" s="1"/>
      <c r="D80" s="1"/>
      <c r="E80" s="1"/>
      <c r="F80" s="1"/>
      <c r="G80" s="1"/>
      <c r="H80" s="1"/>
      <c r="I80" s="1"/>
      <c r="J80" s="1"/>
      <c r="K80" s="1"/>
      <c r="L80" s="1"/>
    </row>
    <row r="81" spans="1:12" x14ac:dyDescent="0.2">
      <c r="A81" s="1"/>
      <c r="B81" s="1"/>
      <c r="C81" s="1"/>
      <c r="D81" s="1"/>
      <c r="E81" s="1"/>
      <c r="F81" s="1"/>
      <c r="G81" s="1"/>
      <c r="H81" s="1"/>
      <c r="I81" s="1"/>
      <c r="J81" s="1"/>
      <c r="K81" s="1"/>
      <c r="L81" s="1"/>
    </row>
    <row r="82" spans="1:12" x14ac:dyDescent="0.2">
      <c r="A82" s="1"/>
      <c r="B82" s="1"/>
      <c r="C82" s="1"/>
      <c r="D82" s="1"/>
      <c r="E82" s="1"/>
      <c r="F82" s="1"/>
      <c r="G82" s="1"/>
      <c r="H82" s="1"/>
      <c r="I82" s="1"/>
      <c r="J82" s="1"/>
      <c r="K82" s="1"/>
      <c r="L82" s="1"/>
    </row>
    <row r="83" spans="1:12" x14ac:dyDescent="0.2">
      <c r="A83" s="1"/>
      <c r="B83" s="1"/>
      <c r="C83" s="1"/>
      <c r="D83" s="1"/>
      <c r="E83" s="1"/>
      <c r="F83" s="1"/>
      <c r="G83" s="1"/>
      <c r="H83" s="1"/>
      <c r="I83" s="1"/>
      <c r="J83" s="1"/>
      <c r="K83" s="1"/>
      <c r="L83" s="1"/>
    </row>
    <row r="84" spans="1:12" x14ac:dyDescent="0.2">
      <c r="A84" s="1"/>
      <c r="B84" s="1"/>
      <c r="C84" s="1"/>
      <c r="D84" s="1"/>
      <c r="E84" s="1"/>
      <c r="F84" s="1"/>
      <c r="G84" s="1"/>
      <c r="H84" s="1"/>
      <c r="I84" s="1"/>
      <c r="J84" s="1"/>
      <c r="K84" s="1"/>
      <c r="L84" s="1"/>
    </row>
    <row r="85" spans="1:12" x14ac:dyDescent="0.2">
      <c r="A85" s="1"/>
      <c r="B85" s="1"/>
      <c r="C85" s="1"/>
      <c r="D85" s="1"/>
      <c r="E85" s="1"/>
      <c r="F85" s="1"/>
      <c r="G85" s="1"/>
      <c r="H85" s="1"/>
      <c r="I85" s="1"/>
      <c r="J85" s="1"/>
      <c r="K85" s="1"/>
      <c r="L85" s="1"/>
    </row>
    <row r="86" spans="1:12" x14ac:dyDescent="0.2">
      <c r="A86" s="1"/>
      <c r="B86" s="1"/>
      <c r="C86" s="1"/>
      <c r="D86" s="1"/>
      <c r="E86" s="1"/>
      <c r="F86" s="1"/>
      <c r="G86" s="1"/>
      <c r="H86" s="1"/>
      <c r="I86" s="1"/>
      <c r="J86" s="1"/>
      <c r="K86" s="1"/>
      <c r="L86" s="1"/>
    </row>
    <row r="87" spans="1:12" x14ac:dyDescent="0.2">
      <c r="A87" s="1"/>
      <c r="B87" s="1"/>
      <c r="C87" s="1"/>
      <c r="D87" s="1"/>
      <c r="E87" s="1"/>
      <c r="F87" s="1"/>
      <c r="G87" s="1"/>
      <c r="H87" s="1"/>
      <c r="I87" s="1"/>
      <c r="J87" s="1"/>
      <c r="K87" s="1"/>
      <c r="L87" s="1"/>
    </row>
    <row r="88" spans="1:12" x14ac:dyDescent="0.2">
      <c r="A88" s="1"/>
      <c r="B88" s="1"/>
      <c r="C88" s="1"/>
      <c r="D88" s="1"/>
      <c r="E88" s="1"/>
      <c r="F88" s="1"/>
      <c r="G88" s="1"/>
      <c r="H88" s="1"/>
      <c r="I88" s="1"/>
      <c r="J88" s="1"/>
      <c r="K88" s="1"/>
      <c r="L88" s="1"/>
    </row>
    <row r="89" spans="1:12" x14ac:dyDescent="0.2">
      <c r="A89" s="1"/>
      <c r="B89" s="1"/>
      <c r="C89" s="1"/>
      <c r="D89" s="1"/>
      <c r="E89" s="1"/>
      <c r="F89" s="1"/>
      <c r="G89" s="1"/>
      <c r="H89" s="1"/>
      <c r="I89" s="1"/>
      <c r="J89" s="1"/>
      <c r="K89" s="1"/>
      <c r="L89" s="1"/>
    </row>
    <row r="90" spans="1:12" x14ac:dyDescent="0.2">
      <c r="A90" s="1"/>
      <c r="B90" s="1"/>
      <c r="C90" s="1"/>
      <c r="D90" s="1"/>
      <c r="E90" s="1"/>
      <c r="F90" s="1"/>
      <c r="G90" s="1"/>
      <c r="H90" s="1"/>
      <c r="I90" s="1"/>
      <c r="J90" s="1"/>
      <c r="K90" s="1"/>
      <c r="L90" s="1"/>
    </row>
    <row r="91" spans="1:12" x14ac:dyDescent="0.2">
      <c r="A91" s="1"/>
      <c r="B91" s="1"/>
      <c r="C91" s="1"/>
      <c r="D91" s="1"/>
      <c r="E91" s="1"/>
      <c r="F91" s="1"/>
      <c r="G91" s="1"/>
      <c r="H91" s="1"/>
      <c r="I91" s="1"/>
      <c r="J91" s="1"/>
      <c r="K91" s="1"/>
      <c r="L91" s="1"/>
    </row>
    <row r="92" spans="1:12" x14ac:dyDescent="0.2">
      <c r="A92" s="1"/>
      <c r="B92" s="1"/>
      <c r="C92" s="1"/>
      <c r="D92" s="1"/>
      <c r="E92" s="1"/>
      <c r="F92" s="1"/>
      <c r="G92" s="1"/>
      <c r="H92" s="1"/>
      <c r="I92" s="1"/>
      <c r="J92" s="1"/>
      <c r="K92" s="1"/>
      <c r="L92" s="1"/>
    </row>
    <row r="93" spans="1:12" x14ac:dyDescent="0.2">
      <c r="A93" s="1"/>
      <c r="B93" s="1"/>
      <c r="C93" s="1"/>
      <c r="D93" s="1"/>
      <c r="E93" s="1"/>
      <c r="F93" s="1"/>
      <c r="G93" s="1"/>
      <c r="H93" s="1"/>
      <c r="I93" s="1"/>
      <c r="J93" s="1"/>
      <c r="K93" s="1"/>
      <c r="L93" s="1"/>
    </row>
    <row r="94" spans="1:12" x14ac:dyDescent="0.2">
      <c r="A94" s="1"/>
      <c r="B94" s="1"/>
      <c r="C94" s="1"/>
      <c r="D94" s="1"/>
      <c r="E94" s="1"/>
      <c r="F94" s="1"/>
      <c r="G94" s="1"/>
      <c r="H94" s="1"/>
      <c r="I94" s="1"/>
      <c r="J94" s="1"/>
      <c r="K94" s="1"/>
      <c r="L94" s="1"/>
    </row>
    <row r="95" spans="1:12" x14ac:dyDescent="0.2">
      <c r="A95" s="1"/>
      <c r="B95" s="1"/>
      <c r="C95" s="1"/>
      <c r="D95" s="1"/>
      <c r="E95" s="1"/>
      <c r="F95" s="1"/>
      <c r="G95" s="1"/>
      <c r="H95" s="1"/>
      <c r="I95" s="1"/>
      <c r="J95" s="1"/>
      <c r="K95" s="1"/>
      <c r="L95" s="1"/>
    </row>
    <row r="96" spans="1:12" x14ac:dyDescent="0.2">
      <c r="A96" s="1"/>
      <c r="B96" s="1"/>
      <c r="C96" s="1"/>
      <c r="D96" s="1"/>
      <c r="E96" s="1"/>
      <c r="F96" s="1"/>
      <c r="G96" s="1"/>
      <c r="H96" s="1"/>
      <c r="I96" s="1"/>
      <c r="J96" s="1"/>
      <c r="K96" s="1"/>
      <c r="L96" s="1"/>
    </row>
    <row r="97" spans="1:12" x14ac:dyDescent="0.2">
      <c r="A97" s="1"/>
      <c r="B97" s="1"/>
      <c r="C97" s="1"/>
      <c r="D97" s="1"/>
      <c r="E97" s="1"/>
      <c r="F97" s="1"/>
      <c r="G97" s="1"/>
      <c r="H97" s="1"/>
      <c r="I97" s="1"/>
      <c r="J97" s="1"/>
      <c r="K97" s="1"/>
      <c r="L97" s="1"/>
    </row>
    <row r="98" spans="1:12" x14ac:dyDescent="0.2">
      <c r="A98" s="1"/>
      <c r="B98" s="1"/>
      <c r="C98" s="1"/>
      <c r="D98" s="1"/>
      <c r="E98" s="1"/>
      <c r="F98" s="1"/>
      <c r="G98" s="1"/>
      <c r="H98" s="1"/>
      <c r="I98" s="1"/>
      <c r="J98" s="1"/>
      <c r="K98" s="1"/>
      <c r="L98" s="1"/>
    </row>
    <row r="99" spans="1:12" x14ac:dyDescent="0.2">
      <c r="A99" s="1"/>
      <c r="B99" s="1"/>
      <c r="C99" s="1"/>
      <c r="D99" s="1"/>
      <c r="E99" s="1"/>
      <c r="F99" s="1"/>
      <c r="G99" s="1"/>
      <c r="H99" s="1"/>
      <c r="I99" s="1"/>
      <c r="J99" s="1"/>
      <c r="K99" s="1"/>
      <c r="L99" s="1"/>
    </row>
    <row r="100" spans="1:12" x14ac:dyDescent="0.2">
      <c r="A100" s="1"/>
      <c r="B100" s="1"/>
      <c r="C100" s="1"/>
      <c r="D100" s="1"/>
      <c r="E100" s="1"/>
      <c r="F100" s="1"/>
      <c r="G100" s="1"/>
      <c r="H100" s="1"/>
      <c r="I100" s="1"/>
      <c r="J100" s="1"/>
      <c r="K100" s="1"/>
      <c r="L100" s="1"/>
    </row>
    <row r="101" spans="1:12" x14ac:dyDescent="0.2">
      <c r="A101" s="1"/>
      <c r="B101" s="1"/>
      <c r="C101" s="1"/>
      <c r="D101" s="1"/>
      <c r="E101" s="1"/>
      <c r="F101" s="1"/>
      <c r="G101" s="1"/>
      <c r="H101" s="1"/>
      <c r="I101" s="1"/>
      <c r="J101" s="1"/>
      <c r="K101" s="1"/>
      <c r="L101" s="1"/>
    </row>
    <row r="102" spans="1:12" x14ac:dyDescent="0.2">
      <c r="A102" s="1"/>
      <c r="B102" s="1"/>
      <c r="C102" s="1"/>
      <c r="D102" s="1"/>
      <c r="E102" s="1"/>
      <c r="F102" s="1"/>
      <c r="G102" s="1"/>
      <c r="H102" s="1"/>
      <c r="I102" s="1"/>
      <c r="J102" s="1"/>
      <c r="K102" s="1"/>
      <c r="L102" s="1"/>
    </row>
    <row r="103" spans="1:12" x14ac:dyDescent="0.2">
      <c r="A103" s="1"/>
      <c r="B103" s="1"/>
      <c r="C103" s="1"/>
      <c r="D103" s="1"/>
      <c r="E103" s="1"/>
      <c r="F103" s="1"/>
      <c r="G103" s="1"/>
      <c r="H103" s="1"/>
      <c r="I103" s="1"/>
      <c r="J103" s="1"/>
      <c r="K103" s="1"/>
      <c r="L103" s="1"/>
    </row>
    <row r="104" spans="1:12" x14ac:dyDescent="0.2">
      <c r="A104" s="1"/>
      <c r="B104" s="1"/>
      <c r="C104" s="1"/>
      <c r="D104" s="1"/>
      <c r="E104" s="1"/>
      <c r="F104" s="1"/>
      <c r="G104" s="1"/>
      <c r="H104" s="1"/>
      <c r="I104" s="1"/>
      <c r="J104" s="1"/>
      <c r="K104" s="1"/>
      <c r="L104" s="1"/>
    </row>
    <row r="105" spans="1:12" x14ac:dyDescent="0.2">
      <c r="A105" s="1"/>
      <c r="B105" s="1"/>
      <c r="C105" s="1"/>
      <c r="D105" s="1"/>
      <c r="E105" s="1"/>
      <c r="F105" s="1"/>
      <c r="G105" s="1"/>
      <c r="H105" s="1"/>
      <c r="I105" s="1"/>
      <c r="J105" s="1"/>
      <c r="K105" s="1"/>
      <c r="L105" s="1"/>
    </row>
    <row r="106" spans="1:12" x14ac:dyDescent="0.2">
      <c r="A106" s="1"/>
      <c r="B106" s="1"/>
      <c r="C106" s="1"/>
      <c r="D106" s="1"/>
      <c r="E106" s="1"/>
      <c r="F106" s="1"/>
      <c r="G106" s="1"/>
      <c r="H106" s="1"/>
      <c r="I106" s="1"/>
      <c r="J106" s="1"/>
      <c r="K106" s="1"/>
      <c r="L106" s="1"/>
    </row>
    <row r="107" spans="1:12" x14ac:dyDescent="0.2">
      <c r="A107" s="1"/>
      <c r="B107" s="1"/>
      <c r="C107" s="1"/>
      <c r="D107" s="1"/>
      <c r="E107" s="1"/>
      <c r="F107" s="1"/>
      <c r="G107" s="1"/>
      <c r="H107" s="1"/>
      <c r="I107" s="1"/>
      <c r="J107" s="1"/>
      <c r="K107" s="1"/>
      <c r="L107" s="1"/>
    </row>
    <row r="108" spans="1:12" x14ac:dyDescent="0.2">
      <c r="A108" s="1"/>
      <c r="B108" s="1"/>
      <c r="C108" s="1"/>
      <c r="D108" s="1"/>
      <c r="E108" s="1"/>
      <c r="F108" s="1"/>
      <c r="G108" s="1"/>
      <c r="H108" s="1"/>
      <c r="I108" s="1"/>
      <c r="J108" s="1"/>
      <c r="K108" s="1"/>
      <c r="L108" s="1"/>
    </row>
    <row r="109" spans="1:12" x14ac:dyDescent="0.2">
      <c r="A109" s="1"/>
      <c r="B109" s="1"/>
      <c r="C109" s="1"/>
      <c r="D109" s="1"/>
      <c r="E109" s="1"/>
      <c r="F109" s="1"/>
      <c r="G109" s="1"/>
      <c r="H109" s="1"/>
      <c r="I109" s="1"/>
      <c r="J109" s="1"/>
      <c r="K109" s="1"/>
      <c r="L109" s="1"/>
    </row>
    <row r="110" spans="1:12" x14ac:dyDescent="0.2">
      <c r="A110" s="1"/>
      <c r="B110" s="1"/>
      <c r="C110" s="1"/>
      <c r="D110" s="1"/>
      <c r="E110" s="1"/>
      <c r="F110" s="1"/>
      <c r="G110" s="1"/>
      <c r="H110" s="1"/>
      <c r="I110" s="1"/>
      <c r="J110" s="1"/>
      <c r="K110" s="1"/>
      <c r="L110" s="1"/>
    </row>
    <row r="111" spans="1:12" x14ac:dyDescent="0.2">
      <c r="A111" s="1"/>
      <c r="B111" s="1"/>
      <c r="C111" s="1"/>
      <c r="D111" s="1"/>
      <c r="E111" s="1"/>
      <c r="F111" s="1"/>
      <c r="G111" s="1"/>
      <c r="H111" s="1"/>
      <c r="I111" s="1"/>
      <c r="J111" s="1"/>
      <c r="K111" s="1"/>
      <c r="L111" s="1"/>
    </row>
    <row r="112" spans="1:12" x14ac:dyDescent="0.2">
      <c r="A112" s="1"/>
      <c r="B112" s="1"/>
      <c r="C112" s="1"/>
      <c r="D112" s="1"/>
      <c r="E112" s="1"/>
      <c r="F112" s="1"/>
      <c r="G112" s="1"/>
      <c r="H112" s="1"/>
      <c r="I112" s="1"/>
      <c r="J112" s="1"/>
      <c r="K112" s="1"/>
      <c r="L112" s="1"/>
    </row>
    <row r="113" spans="1:12" x14ac:dyDescent="0.2">
      <c r="A113" s="1"/>
      <c r="B113" s="1"/>
      <c r="C113" s="1"/>
      <c r="D113" s="1"/>
      <c r="E113" s="1"/>
      <c r="F113" s="1"/>
      <c r="G113" s="1"/>
      <c r="H113" s="1"/>
      <c r="I113" s="1"/>
      <c r="J113" s="1"/>
      <c r="K113" s="1"/>
      <c r="L113" s="1"/>
    </row>
    <row r="114" spans="1:12" x14ac:dyDescent="0.2">
      <c r="A114" s="1"/>
      <c r="B114" s="1"/>
      <c r="C114" s="1"/>
      <c r="D114" s="1"/>
      <c r="E114" s="1"/>
      <c r="F114" s="1"/>
      <c r="G114" s="1"/>
      <c r="H114" s="1"/>
      <c r="I114" s="1"/>
      <c r="J114" s="1"/>
      <c r="K114" s="1"/>
      <c r="L114" s="1"/>
    </row>
    <row r="115" spans="1:12" x14ac:dyDescent="0.2">
      <c r="A115" s="1"/>
      <c r="B115" s="1"/>
      <c r="C115" s="1"/>
      <c r="D115" s="1"/>
      <c r="E115" s="1"/>
      <c r="F115" s="1"/>
      <c r="G115" s="1"/>
      <c r="H115" s="1"/>
      <c r="I115" s="1"/>
      <c r="J115" s="1"/>
      <c r="K115" s="1"/>
      <c r="L115" s="1"/>
    </row>
    <row r="116" spans="1:12" x14ac:dyDescent="0.2">
      <c r="A116" s="1"/>
      <c r="B116" s="1"/>
      <c r="C116" s="1"/>
      <c r="D116" s="1"/>
      <c r="E116" s="1"/>
      <c r="F116" s="1"/>
      <c r="G116" s="1"/>
      <c r="H116" s="1"/>
      <c r="I116" s="1"/>
      <c r="J116" s="1"/>
      <c r="K116" s="1"/>
      <c r="L116" s="1"/>
    </row>
    <row r="117" spans="1:12" x14ac:dyDescent="0.2">
      <c r="A117" s="1"/>
      <c r="B117" s="1"/>
      <c r="C117" s="1"/>
      <c r="D117" s="1"/>
      <c r="E117" s="1"/>
      <c r="F117" s="1"/>
      <c r="G117" s="1"/>
      <c r="H117" s="1"/>
      <c r="I117" s="1"/>
      <c r="J117" s="1"/>
      <c r="K117" s="1"/>
      <c r="L117" s="1"/>
    </row>
    <row r="118" spans="1:12" x14ac:dyDescent="0.2">
      <c r="A118" s="1"/>
      <c r="B118" s="1"/>
      <c r="C118" s="1"/>
      <c r="D118" s="1"/>
      <c r="E118" s="1"/>
      <c r="F118" s="1"/>
      <c r="G118" s="1"/>
      <c r="H118" s="1"/>
      <c r="I118" s="1"/>
      <c r="J118" s="1"/>
      <c r="K118" s="1"/>
      <c r="L118" s="1"/>
    </row>
    <row r="119" spans="1:12" x14ac:dyDescent="0.2">
      <c r="A119" s="1"/>
      <c r="B119" s="1"/>
      <c r="C119" s="1"/>
      <c r="D119" s="1"/>
      <c r="E119" s="1"/>
      <c r="F119" s="1"/>
      <c r="G119" s="1"/>
      <c r="H119" s="1"/>
      <c r="I119" s="1"/>
      <c r="J119" s="1"/>
      <c r="K119" s="1"/>
      <c r="L119" s="1"/>
    </row>
    <row r="120" spans="1:12" x14ac:dyDescent="0.2">
      <c r="A120" s="1"/>
      <c r="B120" s="1"/>
      <c r="C120" s="1"/>
      <c r="D120" s="1"/>
      <c r="E120" s="1"/>
      <c r="F120" s="1"/>
      <c r="G120" s="1"/>
      <c r="H120" s="1"/>
      <c r="I120" s="1"/>
      <c r="J120" s="1"/>
      <c r="K120" s="1"/>
      <c r="L120" s="1"/>
    </row>
    <row r="121" spans="1:12" x14ac:dyDescent="0.2">
      <c r="A121" s="1"/>
      <c r="B121" s="1"/>
      <c r="C121" s="1"/>
      <c r="D121" s="1"/>
      <c r="E121" s="1"/>
      <c r="F121" s="1"/>
      <c r="G121" s="1"/>
      <c r="H121" s="1"/>
      <c r="I121" s="1"/>
      <c r="J121" s="1"/>
      <c r="K121" s="1"/>
      <c r="L121" s="1"/>
    </row>
    <row r="122" spans="1:12" x14ac:dyDescent="0.2">
      <c r="A122" s="1"/>
      <c r="B122" s="1"/>
      <c r="C122" s="1"/>
      <c r="D122" s="1"/>
      <c r="E122" s="1"/>
      <c r="F122" s="1"/>
      <c r="G122" s="1"/>
      <c r="H122" s="1"/>
      <c r="I122" s="1"/>
      <c r="J122" s="1"/>
      <c r="K122" s="1"/>
      <c r="L122" s="1"/>
    </row>
    <row r="123" spans="1:12" x14ac:dyDescent="0.2">
      <c r="A123" s="1"/>
      <c r="B123" s="1"/>
      <c r="C123" s="1"/>
      <c r="D123" s="1"/>
      <c r="E123" s="1"/>
      <c r="F123" s="1"/>
      <c r="G123" s="1"/>
      <c r="H123" s="1"/>
      <c r="I123" s="1"/>
      <c r="J123" s="1"/>
      <c r="K123" s="1"/>
      <c r="L123" s="1"/>
    </row>
    <row r="124" spans="1:12" x14ac:dyDescent="0.2">
      <c r="A124" s="1"/>
      <c r="B124" s="1"/>
      <c r="C124" s="1"/>
      <c r="D124" s="1"/>
      <c r="E124" s="1"/>
      <c r="F124" s="1"/>
      <c r="G124" s="1"/>
      <c r="H124" s="1"/>
      <c r="I124" s="1"/>
      <c r="J124" s="1"/>
      <c r="K124" s="1"/>
      <c r="L124" s="1"/>
    </row>
    <row r="125" spans="1:12" x14ac:dyDescent="0.2">
      <c r="A125" s="1"/>
      <c r="B125" s="1"/>
      <c r="C125" s="1"/>
      <c r="D125" s="1"/>
      <c r="E125" s="1"/>
      <c r="F125" s="1"/>
      <c r="G125" s="1"/>
      <c r="H125" s="1"/>
      <c r="I125" s="1"/>
      <c r="J125" s="1"/>
      <c r="K125" s="1"/>
      <c r="L125" s="1"/>
    </row>
    <row r="126" spans="1:12" x14ac:dyDescent="0.2">
      <c r="A126" s="1"/>
      <c r="B126" s="1"/>
      <c r="C126" s="1"/>
      <c r="D126" s="1"/>
      <c r="E126" s="1"/>
      <c r="F126" s="1"/>
      <c r="G126" s="1"/>
      <c r="H126" s="1"/>
      <c r="I126" s="1"/>
      <c r="J126" s="1"/>
      <c r="K126" s="1"/>
      <c r="L126" s="1"/>
    </row>
    <row r="127" spans="1:12" x14ac:dyDescent="0.2">
      <c r="A127" s="1"/>
      <c r="B127" s="1"/>
      <c r="C127" s="1"/>
      <c r="D127" s="1"/>
      <c r="E127" s="1"/>
      <c r="F127" s="1"/>
      <c r="G127" s="1"/>
      <c r="H127" s="1"/>
      <c r="I127" s="1"/>
      <c r="J127" s="1"/>
      <c r="K127" s="1"/>
      <c r="L127" s="1"/>
    </row>
    <row r="128" spans="1:12" x14ac:dyDescent="0.2">
      <c r="A128" s="1"/>
      <c r="B128" s="1"/>
      <c r="C128" s="1"/>
      <c r="D128" s="1"/>
      <c r="E128" s="1"/>
      <c r="F128" s="1"/>
      <c r="G128" s="1"/>
      <c r="H128" s="1"/>
      <c r="I128" s="1"/>
      <c r="J128" s="1"/>
      <c r="K128" s="1"/>
      <c r="L128" s="1"/>
    </row>
    <row r="129" spans="1:12" x14ac:dyDescent="0.2">
      <c r="A129" s="1"/>
      <c r="B129" s="1"/>
      <c r="C129" s="1"/>
      <c r="D129" s="1"/>
      <c r="E129" s="1"/>
      <c r="F129" s="1"/>
      <c r="G129" s="1"/>
      <c r="H129" s="1"/>
      <c r="I129" s="1"/>
      <c r="J129" s="1"/>
      <c r="K129" s="1"/>
      <c r="L129" s="1"/>
    </row>
    <row r="130" spans="1:12" x14ac:dyDescent="0.2">
      <c r="A130" s="1"/>
      <c r="B130" s="1"/>
      <c r="C130" s="1"/>
      <c r="D130" s="1"/>
      <c r="E130" s="1"/>
      <c r="F130" s="1"/>
      <c r="G130" s="1"/>
      <c r="H130" s="1"/>
      <c r="I130" s="1"/>
      <c r="J130" s="1"/>
      <c r="K130" s="1"/>
      <c r="L130" s="1"/>
    </row>
    <row r="131" spans="1:12" x14ac:dyDescent="0.2">
      <c r="A131" s="1"/>
      <c r="B131" s="1"/>
      <c r="C131" s="1"/>
      <c r="D131" s="1"/>
      <c r="E131" s="1"/>
      <c r="F131" s="1"/>
      <c r="G131" s="1"/>
      <c r="H131" s="1"/>
      <c r="I131" s="1"/>
      <c r="J131" s="1"/>
      <c r="K131" s="1"/>
      <c r="L131" s="1"/>
    </row>
    <row r="132" spans="1:12" x14ac:dyDescent="0.2">
      <c r="A132" s="1"/>
      <c r="B132" s="1"/>
      <c r="C132" s="1"/>
      <c r="D132" s="1"/>
      <c r="E132" s="1"/>
      <c r="F132" s="1"/>
      <c r="G132" s="1"/>
      <c r="H132" s="1"/>
      <c r="I132" s="1"/>
      <c r="J132" s="1"/>
      <c r="K132" s="1"/>
      <c r="L132" s="1"/>
    </row>
    <row r="133" spans="1:12" x14ac:dyDescent="0.2">
      <c r="A133" s="1"/>
      <c r="B133" s="1"/>
      <c r="C133" s="1"/>
      <c r="D133" s="1"/>
      <c r="E133" s="1"/>
      <c r="F133" s="1"/>
      <c r="G133" s="1"/>
      <c r="H133" s="1"/>
      <c r="I133" s="1"/>
      <c r="J133" s="1"/>
      <c r="K133" s="1"/>
      <c r="L133" s="1"/>
    </row>
    <row r="134" spans="1:12" x14ac:dyDescent="0.2">
      <c r="A134" s="1"/>
      <c r="B134" s="1"/>
      <c r="C134" s="1"/>
      <c r="D134" s="1"/>
      <c r="E134" s="1"/>
      <c r="F134" s="1"/>
      <c r="G134" s="1"/>
      <c r="H134" s="1"/>
      <c r="I134" s="1"/>
      <c r="J134" s="1"/>
      <c r="K134" s="1"/>
      <c r="L134" s="1"/>
    </row>
    <row r="135" spans="1:12" x14ac:dyDescent="0.2">
      <c r="A135" s="1"/>
      <c r="B135" s="1"/>
      <c r="C135" s="1"/>
      <c r="D135" s="1"/>
      <c r="E135" s="1"/>
      <c r="F135" s="1"/>
      <c r="G135" s="1"/>
      <c r="H135" s="1"/>
      <c r="I135" s="1"/>
      <c r="J135" s="1"/>
      <c r="K135" s="1"/>
      <c r="L135" s="1"/>
    </row>
    <row r="136" spans="1:12" x14ac:dyDescent="0.2">
      <c r="A136" s="1"/>
      <c r="B136" s="1"/>
      <c r="C136" s="1"/>
      <c r="D136" s="1"/>
      <c r="E136" s="1"/>
      <c r="F136" s="1"/>
      <c r="G136" s="1"/>
      <c r="H136" s="1"/>
      <c r="I136" s="1"/>
      <c r="J136" s="1"/>
      <c r="K136" s="1"/>
      <c r="L136" s="1"/>
    </row>
    <row r="137" spans="1:12" x14ac:dyDescent="0.2">
      <c r="A137" s="1"/>
      <c r="B137" s="1"/>
      <c r="C137" s="1"/>
      <c r="D137" s="1"/>
      <c r="E137" s="1"/>
      <c r="F137" s="1"/>
      <c r="G137" s="1"/>
      <c r="H137" s="1"/>
      <c r="I137" s="1"/>
      <c r="J137" s="1"/>
      <c r="K137" s="1"/>
      <c r="L137" s="1"/>
    </row>
    <row r="138" spans="1:12" x14ac:dyDescent="0.2">
      <c r="A138" s="1"/>
      <c r="B138" s="1"/>
      <c r="C138" s="1"/>
      <c r="D138" s="1"/>
      <c r="E138" s="1"/>
      <c r="F138" s="1"/>
      <c r="G138" s="1"/>
      <c r="H138" s="1"/>
      <c r="I138" s="1"/>
      <c r="J138" s="1"/>
      <c r="K138" s="1"/>
      <c r="L138" s="1"/>
    </row>
    <row r="139" spans="1:12" x14ac:dyDescent="0.2">
      <c r="A139" s="1"/>
      <c r="B139" s="1"/>
      <c r="C139" s="1"/>
      <c r="D139" s="1"/>
      <c r="E139" s="1"/>
      <c r="F139" s="1"/>
      <c r="G139" s="1"/>
      <c r="H139" s="1"/>
      <c r="I139" s="1"/>
      <c r="J139" s="1"/>
      <c r="K139" s="1"/>
      <c r="L139" s="1"/>
    </row>
    <row r="140" spans="1:12" x14ac:dyDescent="0.2">
      <c r="A140" s="1"/>
      <c r="B140" s="1"/>
      <c r="C140" s="1"/>
      <c r="D140" s="1"/>
      <c r="E140" s="1"/>
      <c r="F140" s="1"/>
      <c r="G140" s="1"/>
      <c r="H140" s="1"/>
      <c r="I140" s="1"/>
      <c r="J140" s="1"/>
      <c r="K140" s="1"/>
      <c r="L140" s="1"/>
    </row>
    <row r="141" spans="1:12" x14ac:dyDescent="0.2">
      <c r="A141" s="1"/>
      <c r="B141" s="1"/>
      <c r="C141" s="1"/>
      <c r="D141" s="1"/>
      <c r="E141" s="1"/>
      <c r="F141" s="1"/>
      <c r="G141" s="1"/>
      <c r="H141" s="1"/>
      <c r="I141" s="1"/>
      <c r="J141" s="1"/>
      <c r="K141" s="1"/>
      <c r="L141" s="1"/>
    </row>
    <row r="142" spans="1:12" x14ac:dyDescent="0.2">
      <c r="A142" s="1"/>
      <c r="B142" s="1"/>
      <c r="C142" s="1"/>
      <c r="D142" s="1"/>
      <c r="E142" s="1"/>
      <c r="F142" s="1"/>
      <c r="G142" s="1"/>
      <c r="H142" s="1"/>
      <c r="I142" s="1"/>
      <c r="J142" s="1"/>
      <c r="K142" s="1"/>
      <c r="L142" s="1"/>
    </row>
    <row r="143" spans="1:12" x14ac:dyDescent="0.2">
      <c r="A143" s="1"/>
      <c r="B143" s="1"/>
      <c r="C143" s="1"/>
      <c r="D143" s="1"/>
      <c r="E143" s="1"/>
      <c r="F143" s="1"/>
      <c r="G143" s="1"/>
      <c r="H143" s="1"/>
      <c r="I143" s="1"/>
      <c r="J143" s="1"/>
      <c r="K143" s="1"/>
      <c r="L143" s="1"/>
    </row>
    <row r="144" spans="1:12" x14ac:dyDescent="0.2">
      <c r="A144" s="1"/>
      <c r="B144" s="1"/>
      <c r="C144" s="1"/>
      <c r="D144" s="1"/>
      <c r="E144" s="1"/>
      <c r="F144" s="1"/>
      <c r="G144" s="1"/>
      <c r="H144" s="1"/>
      <c r="I144" s="1"/>
      <c r="J144" s="1"/>
      <c r="K144" s="1"/>
      <c r="L144" s="1"/>
    </row>
    <row r="145" spans="1:12" x14ac:dyDescent="0.2">
      <c r="A145" s="1"/>
      <c r="B145" s="1"/>
      <c r="C145" s="1"/>
      <c r="D145" s="1"/>
      <c r="E145" s="1"/>
      <c r="F145" s="1"/>
      <c r="G145" s="1"/>
      <c r="H145" s="1"/>
      <c r="I145" s="1"/>
      <c r="J145" s="1"/>
      <c r="K145" s="1"/>
      <c r="L145" s="1"/>
    </row>
    <row r="146" spans="1:12" x14ac:dyDescent="0.2">
      <c r="A146" s="1"/>
      <c r="B146" s="1"/>
      <c r="C146" s="1"/>
      <c r="D146" s="1"/>
      <c r="E146" s="1"/>
      <c r="F146" s="1"/>
      <c r="G146" s="1"/>
      <c r="H146" s="1"/>
      <c r="I146" s="1"/>
      <c r="J146" s="1"/>
      <c r="K146" s="1"/>
      <c r="L146" s="1"/>
    </row>
    <row r="147" spans="1:12" x14ac:dyDescent="0.2">
      <c r="A147" s="1"/>
      <c r="B147" s="1"/>
      <c r="C147" s="1"/>
      <c r="D147" s="1"/>
      <c r="E147" s="1"/>
      <c r="F147" s="1"/>
      <c r="G147" s="1"/>
      <c r="H147" s="1"/>
      <c r="I147" s="1"/>
      <c r="J147" s="1"/>
      <c r="K147" s="1"/>
      <c r="L147" s="1"/>
    </row>
    <row r="148" spans="1:12" x14ac:dyDescent="0.2">
      <c r="A148" s="1"/>
      <c r="B148" s="1"/>
      <c r="C148" s="1"/>
      <c r="D148" s="1"/>
      <c r="E148" s="1"/>
      <c r="F148" s="1"/>
      <c r="G148" s="1"/>
      <c r="H148" s="1"/>
      <c r="I148" s="1"/>
      <c r="J148" s="1"/>
      <c r="K148" s="1"/>
      <c r="L148" s="1"/>
    </row>
    <row r="149" spans="1:12" x14ac:dyDescent="0.2">
      <c r="A149" s="1"/>
      <c r="B149" s="1"/>
      <c r="C149" s="1"/>
      <c r="D149" s="1"/>
      <c r="E149" s="1"/>
      <c r="F149" s="1"/>
      <c r="G149" s="1"/>
      <c r="H149" s="1"/>
      <c r="I149" s="1"/>
      <c r="J149" s="1"/>
      <c r="K149" s="1"/>
      <c r="L149" s="1"/>
    </row>
    <row r="150" spans="1:12" x14ac:dyDescent="0.2">
      <c r="A150" s="1"/>
      <c r="B150" s="1"/>
      <c r="C150" s="1"/>
      <c r="D150" s="1"/>
      <c r="E150" s="1"/>
      <c r="F150" s="1"/>
      <c r="G150" s="1"/>
      <c r="H150" s="1"/>
      <c r="I150" s="1"/>
      <c r="J150" s="1"/>
      <c r="K150" s="1"/>
      <c r="L150" s="1"/>
    </row>
    <row r="151" spans="1:12" x14ac:dyDescent="0.2">
      <c r="A151" s="1"/>
      <c r="B151" s="1"/>
      <c r="C151" s="1"/>
      <c r="D151" s="1"/>
      <c r="E151" s="1"/>
      <c r="F151" s="1"/>
      <c r="G151" s="1"/>
      <c r="H151" s="1"/>
      <c r="I151" s="1"/>
      <c r="J151" s="1"/>
      <c r="K151" s="1"/>
      <c r="L151" s="1"/>
    </row>
    <row r="152" spans="1:12" x14ac:dyDescent="0.2">
      <c r="A152" s="1"/>
      <c r="B152" s="1"/>
      <c r="C152" s="1"/>
      <c r="D152" s="1"/>
      <c r="E152" s="1"/>
      <c r="F152" s="1"/>
      <c r="G152" s="1"/>
      <c r="H152" s="1"/>
      <c r="I152" s="1"/>
      <c r="J152" s="1"/>
      <c r="K152" s="1"/>
      <c r="L152" s="1"/>
    </row>
    <row r="153" spans="1:12" x14ac:dyDescent="0.2">
      <c r="A153" s="1"/>
      <c r="B153" s="1"/>
      <c r="C153" s="1"/>
      <c r="D153" s="1"/>
      <c r="E153" s="1"/>
      <c r="F153" s="1"/>
      <c r="G153" s="1"/>
      <c r="H153" s="1"/>
      <c r="I153" s="1"/>
      <c r="J153" s="1"/>
      <c r="K153" s="1"/>
      <c r="L153" s="1"/>
    </row>
    <row r="154" spans="1:12" x14ac:dyDescent="0.2">
      <c r="A154" s="1"/>
      <c r="B154" s="1"/>
      <c r="C154" s="1"/>
      <c r="D154" s="1"/>
      <c r="E154" s="1"/>
      <c r="F154" s="1"/>
      <c r="G154" s="1"/>
      <c r="H154" s="1"/>
      <c r="I154" s="1"/>
      <c r="J154" s="1"/>
      <c r="K154" s="1"/>
      <c r="L154" s="1"/>
    </row>
    <row r="155" spans="1:12" x14ac:dyDescent="0.2">
      <c r="A155" s="1"/>
      <c r="B155" s="1"/>
      <c r="C155" s="1"/>
      <c r="D155" s="1"/>
      <c r="E155" s="1"/>
      <c r="F155" s="1"/>
      <c r="G155" s="1"/>
      <c r="H155" s="1"/>
      <c r="I155" s="1"/>
      <c r="J155" s="1"/>
      <c r="K155" s="1"/>
      <c r="L155" s="1"/>
    </row>
    <row r="156" spans="1:12" x14ac:dyDescent="0.2">
      <c r="A156" s="1"/>
      <c r="B156" s="1"/>
      <c r="C156" s="1"/>
      <c r="D156" s="1"/>
      <c r="E156" s="1"/>
      <c r="F156" s="1"/>
      <c r="G156" s="1"/>
      <c r="H156" s="1"/>
      <c r="I156" s="1"/>
      <c r="J156" s="1"/>
      <c r="K156" s="1"/>
      <c r="L156" s="1"/>
    </row>
    <row r="157" spans="1:12" x14ac:dyDescent="0.2">
      <c r="A157" s="1"/>
      <c r="B157" s="1"/>
      <c r="C157" s="1"/>
      <c r="D157" s="1"/>
      <c r="E157" s="1"/>
      <c r="F157" s="1"/>
      <c r="G157" s="1"/>
      <c r="H157" s="1"/>
      <c r="I157" s="1"/>
      <c r="J157" s="1"/>
      <c r="K157" s="1"/>
      <c r="L157" s="1"/>
    </row>
    <row r="158" spans="1:12" x14ac:dyDescent="0.2">
      <c r="A158" s="1"/>
      <c r="B158" s="1"/>
      <c r="C158" s="1"/>
      <c r="D158" s="1"/>
      <c r="E158" s="1"/>
      <c r="F158" s="1"/>
      <c r="G158" s="1"/>
      <c r="H158" s="1"/>
      <c r="I158" s="1"/>
      <c r="J158" s="1"/>
      <c r="K158" s="1"/>
      <c r="L158" s="1"/>
    </row>
    <row r="159" spans="1:12" x14ac:dyDescent="0.2">
      <c r="A159" s="1"/>
      <c r="B159" s="1"/>
      <c r="C159" s="1"/>
      <c r="D159" s="1"/>
      <c r="E159" s="1"/>
      <c r="F159" s="1"/>
      <c r="G159" s="1"/>
      <c r="H159" s="1"/>
      <c r="I159" s="1"/>
      <c r="J159" s="1"/>
      <c r="K159" s="1"/>
      <c r="L159" s="1"/>
    </row>
    <row r="160" spans="1:12" x14ac:dyDescent="0.2">
      <c r="A160" s="1"/>
      <c r="B160" s="1"/>
      <c r="C160" s="1"/>
      <c r="D160" s="1"/>
      <c r="E160" s="1"/>
      <c r="F160" s="1"/>
      <c r="G160" s="1"/>
      <c r="H160" s="1"/>
      <c r="I160" s="1"/>
      <c r="J160" s="1"/>
      <c r="K160" s="1"/>
      <c r="L160" s="1"/>
    </row>
    <row r="161" spans="1:12" x14ac:dyDescent="0.2">
      <c r="A161" s="1"/>
      <c r="B161" s="1"/>
      <c r="C161" s="1"/>
      <c r="D161" s="1"/>
      <c r="E161" s="1"/>
      <c r="F161" s="1"/>
      <c r="G161" s="1"/>
      <c r="H161" s="1"/>
      <c r="I161" s="1"/>
      <c r="J161" s="1"/>
      <c r="K161" s="1"/>
      <c r="L161" s="1"/>
    </row>
    <row r="162" spans="1:12" x14ac:dyDescent="0.2">
      <c r="A162" s="1"/>
      <c r="B162" s="1"/>
      <c r="C162" s="1"/>
      <c r="D162" s="1"/>
      <c r="E162" s="1"/>
      <c r="F162" s="1"/>
      <c r="G162" s="1"/>
      <c r="H162" s="1"/>
      <c r="I162" s="1"/>
      <c r="J162" s="1"/>
      <c r="K162" s="1"/>
      <c r="L162" s="1"/>
    </row>
    <row r="163" spans="1:12" x14ac:dyDescent="0.2">
      <c r="A163" s="1"/>
      <c r="B163" s="1"/>
      <c r="C163" s="1"/>
      <c r="D163" s="1"/>
      <c r="E163" s="1"/>
      <c r="F163" s="1"/>
      <c r="G163" s="1"/>
      <c r="H163" s="1"/>
      <c r="I163" s="1"/>
      <c r="J163" s="1"/>
      <c r="K163" s="1"/>
      <c r="L163" s="1"/>
    </row>
    <row r="164" spans="1:12" x14ac:dyDescent="0.2">
      <c r="A164" s="1"/>
      <c r="B164" s="1"/>
      <c r="C164" s="1"/>
      <c r="D164" s="1"/>
      <c r="E164" s="1"/>
      <c r="F164" s="1"/>
      <c r="G164" s="1"/>
      <c r="H164" s="1"/>
      <c r="I164" s="1"/>
      <c r="J164" s="1"/>
      <c r="K164" s="1"/>
      <c r="L164" s="1"/>
    </row>
    <row r="165" spans="1:12" x14ac:dyDescent="0.2">
      <c r="A165" s="1"/>
      <c r="B165" s="1"/>
      <c r="C165" s="1"/>
      <c r="D165" s="1"/>
      <c r="E165" s="1"/>
      <c r="F165" s="1"/>
      <c r="G165" s="1"/>
      <c r="H165" s="1"/>
      <c r="I165" s="1"/>
      <c r="J165" s="1"/>
      <c r="K165" s="1"/>
      <c r="L165" s="1"/>
    </row>
    <row r="166" spans="1:12" x14ac:dyDescent="0.2">
      <c r="A166" s="1"/>
      <c r="B166" s="1"/>
      <c r="C166" s="1"/>
      <c r="D166" s="1"/>
      <c r="E166" s="1"/>
      <c r="F166" s="1"/>
      <c r="G166" s="1"/>
      <c r="H166" s="1"/>
      <c r="I166" s="1"/>
      <c r="J166" s="1"/>
      <c r="K166" s="1"/>
      <c r="L166" s="1"/>
    </row>
    <row r="167" spans="1:12" x14ac:dyDescent="0.2">
      <c r="A167" s="1"/>
      <c r="B167" s="1"/>
      <c r="C167" s="1"/>
      <c r="D167" s="1"/>
      <c r="E167" s="1"/>
      <c r="F167" s="1"/>
      <c r="G167" s="1"/>
      <c r="H167" s="1"/>
      <c r="I167" s="1"/>
      <c r="J167" s="1"/>
      <c r="K167" s="1"/>
      <c r="L167" s="1"/>
    </row>
    <row r="168" spans="1:12" x14ac:dyDescent="0.2">
      <c r="A168" s="1"/>
      <c r="B168" s="1"/>
      <c r="C168" s="1"/>
      <c r="D168" s="1"/>
      <c r="E168" s="1"/>
      <c r="F168" s="1"/>
      <c r="G168" s="1"/>
      <c r="H168" s="1"/>
      <c r="I168" s="1"/>
      <c r="J168" s="1"/>
      <c r="K168" s="1"/>
      <c r="L168" s="1"/>
    </row>
    <row r="169" spans="1:12" x14ac:dyDescent="0.2">
      <c r="A169" s="1"/>
      <c r="B169" s="1"/>
      <c r="C169" s="1"/>
      <c r="D169" s="1"/>
      <c r="E169" s="1"/>
      <c r="F169" s="1"/>
      <c r="G169" s="1"/>
      <c r="H169" s="1"/>
      <c r="I169" s="1"/>
      <c r="J169" s="1"/>
      <c r="K169" s="1"/>
      <c r="L169" s="1"/>
    </row>
    <row r="170" spans="1:12" x14ac:dyDescent="0.2">
      <c r="A170" s="1"/>
      <c r="B170" s="1"/>
      <c r="C170" s="1"/>
      <c r="D170" s="1"/>
      <c r="E170" s="1"/>
      <c r="F170" s="1"/>
      <c r="G170" s="1"/>
      <c r="H170" s="1"/>
      <c r="I170" s="1"/>
      <c r="J170" s="1"/>
      <c r="K170" s="1"/>
      <c r="L170" s="1"/>
    </row>
    <row r="171" spans="1:12" x14ac:dyDescent="0.2">
      <c r="A171" s="1"/>
      <c r="B171" s="1"/>
      <c r="C171" s="1"/>
      <c r="D171" s="1"/>
      <c r="E171" s="1"/>
      <c r="F171" s="1"/>
      <c r="G171" s="1"/>
      <c r="H171" s="1"/>
      <c r="I171" s="1"/>
      <c r="J171" s="1"/>
      <c r="K171" s="1"/>
      <c r="L171" s="1"/>
    </row>
    <row r="172" spans="1:12" x14ac:dyDescent="0.2">
      <c r="A172" s="1"/>
      <c r="B172" s="1"/>
      <c r="C172" s="1"/>
      <c r="D172" s="1"/>
      <c r="E172" s="1"/>
      <c r="F172" s="1"/>
      <c r="G172" s="1"/>
      <c r="H172" s="1"/>
      <c r="I172" s="1"/>
      <c r="J172" s="1"/>
      <c r="K172" s="1"/>
      <c r="L172" s="1"/>
    </row>
    <row r="173" spans="1:12" x14ac:dyDescent="0.2">
      <c r="A173" s="1"/>
      <c r="B173" s="1"/>
      <c r="C173" s="1"/>
      <c r="D173" s="1"/>
      <c r="E173" s="1"/>
      <c r="F173" s="1"/>
      <c r="G173" s="1"/>
      <c r="H173" s="1"/>
      <c r="I173" s="1"/>
      <c r="J173" s="1"/>
      <c r="K173" s="1"/>
      <c r="L173" s="1"/>
    </row>
    <row r="174" spans="1:12" x14ac:dyDescent="0.2">
      <c r="A174" s="1"/>
      <c r="B174" s="1"/>
      <c r="C174" s="1"/>
      <c r="D174" s="1"/>
      <c r="E174" s="1"/>
      <c r="F174" s="1"/>
      <c r="G174" s="1"/>
      <c r="H174" s="1"/>
      <c r="I174" s="1"/>
      <c r="J174" s="1"/>
      <c r="K174" s="1"/>
      <c r="L174" s="1"/>
    </row>
    <row r="175" spans="1:12" x14ac:dyDescent="0.2">
      <c r="A175" s="1"/>
      <c r="B175" s="1"/>
      <c r="C175" s="1"/>
      <c r="D175" s="1"/>
      <c r="E175" s="1"/>
      <c r="F175" s="1"/>
      <c r="G175" s="1"/>
      <c r="H175" s="1"/>
      <c r="I175" s="1"/>
      <c r="J175" s="1"/>
      <c r="K175" s="1"/>
      <c r="L175" s="1"/>
    </row>
    <row r="176" spans="1:12" x14ac:dyDescent="0.2">
      <c r="A176" s="1"/>
      <c r="B176" s="1"/>
      <c r="C176" s="1"/>
      <c r="D176" s="1"/>
      <c r="E176" s="1"/>
      <c r="F176" s="1"/>
      <c r="G176" s="1"/>
      <c r="H176" s="1"/>
      <c r="I176" s="1"/>
      <c r="J176" s="1"/>
      <c r="K176" s="1"/>
      <c r="L176" s="1"/>
    </row>
    <row r="177" spans="1:12" x14ac:dyDescent="0.2">
      <c r="A177" s="1"/>
      <c r="B177" s="1"/>
      <c r="C177" s="1"/>
      <c r="D177" s="1"/>
      <c r="E177" s="1"/>
      <c r="F177" s="1"/>
      <c r="G177" s="1"/>
      <c r="H177" s="1"/>
      <c r="I177" s="1"/>
      <c r="J177" s="1"/>
      <c r="K177" s="1"/>
      <c r="L177" s="1"/>
    </row>
    <row r="178" spans="1:12" x14ac:dyDescent="0.2">
      <c r="A178" s="1"/>
      <c r="B178" s="1"/>
      <c r="C178" s="1"/>
      <c r="D178" s="1"/>
      <c r="E178" s="1"/>
      <c r="F178" s="1"/>
      <c r="G178" s="1"/>
      <c r="H178" s="1"/>
      <c r="I178" s="1"/>
      <c r="J178" s="1"/>
      <c r="K178" s="1"/>
      <c r="L178" s="1"/>
    </row>
    <row r="179" spans="1:12" x14ac:dyDescent="0.2">
      <c r="A179" s="1"/>
      <c r="B179" s="1"/>
      <c r="C179" s="1"/>
      <c r="D179" s="1"/>
      <c r="E179" s="1"/>
      <c r="F179" s="1"/>
      <c r="G179" s="1"/>
      <c r="H179" s="1"/>
      <c r="I179" s="1"/>
      <c r="J179" s="1"/>
      <c r="K179" s="1"/>
      <c r="L179" s="1"/>
    </row>
    <row r="180" spans="1:12" x14ac:dyDescent="0.2">
      <c r="A180" s="1"/>
      <c r="B180" s="1"/>
      <c r="C180" s="1"/>
      <c r="D180" s="1"/>
      <c r="E180" s="1"/>
      <c r="F180" s="1"/>
      <c r="G180" s="1"/>
      <c r="H180" s="1"/>
      <c r="I180" s="1"/>
      <c r="J180" s="1"/>
      <c r="K180" s="1"/>
      <c r="L180" s="1"/>
    </row>
    <row r="181" spans="1:12" x14ac:dyDescent="0.2">
      <c r="A181" s="1"/>
      <c r="B181" s="1"/>
      <c r="C181" s="1"/>
      <c r="D181" s="1"/>
      <c r="E181" s="1"/>
      <c r="F181" s="1"/>
      <c r="G181" s="1"/>
      <c r="H181" s="1"/>
      <c r="I181" s="1"/>
      <c r="J181" s="1"/>
      <c r="K181" s="1"/>
      <c r="L181" s="1"/>
    </row>
    <row r="182" spans="1:12" x14ac:dyDescent="0.2">
      <c r="A182" s="1"/>
      <c r="B182" s="1"/>
      <c r="C182" s="1"/>
      <c r="D182" s="1"/>
      <c r="E182" s="1"/>
      <c r="F182" s="1"/>
      <c r="G182" s="1"/>
      <c r="H182" s="1"/>
      <c r="I182" s="1"/>
      <c r="J182" s="1"/>
      <c r="K182" s="1"/>
      <c r="L182" s="1"/>
    </row>
    <row r="183" spans="1:12" x14ac:dyDescent="0.2">
      <c r="A183" s="1"/>
      <c r="B183" s="1"/>
      <c r="C183" s="1"/>
      <c r="D183" s="1"/>
      <c r="E183" s="1"/>
      <c r="F183" s="1"/>
      <c r="G183" s="1"/>
      <c r="H183" s="1"/>
      <c r="I183" s="1"/>
      <c r="J183" s="1"/>
      <c r="K183" s="1"/>
      <c r="L183" s="1"/>
    </row>
    <row r="184" spans="1:12" x14ac:dyDescent="0.2">
      <c r="A184" s="1"/>
      <c r="B184" s="1"/>
      <c r="C184" s="1"/>
      <c r="D184" s="1"/>
      <c r="E184" s="1"/>
      <c r="F184" s="1"/>
      <c r="G184" s="1"/>
      <c r="H184" s="1"/>
      <c r="I184" s="1"/>
      <c r="J184" s="1"/>
      <c r="K184" s="1"/>
      <c r="L184" s="1"/>
    </row>
    <row r="185" spans="1:12" x14ac:dyDescent="0.2">
      <c r="A185" s="1"/>
      <c r="B185" s="1"/>
      <c r="C185" s="1"/>
      <c r="D185" s="1"/>
      <c r="E185" s="1"/>
      <c r="F185" s="1"/>
      <c r="G185" s="1"/>
      <c r="H185" s="1"/>
      <c r="I185" s="1"/>
      <c r="J185" s="1"/>
      <c r="K185" s="1"/>
      <c r="L185" s="1"/>
    </row>
    <row r="186" spans="1:12" x14ac:dyDescent="0.2">
      <c r="A186" s="1"/>
      <c r="B186" s="1"/>
      <c r="C186" s="1"/>
      <c r="D186" s="1"/>
      <c r="E186" s="1"/>
      <c r="F186" s="1"/>
      <c r="G186" s="1"/>
      <c r="H186" s="1"/>
      <c r="I186" s="1"/>
      <c r="J186" s="1"/>
      <c r="K186" s="1"/>
      <c r="L186" s="1"/>
    </row>
    <row r="187" spans="1:12" x14ac:dyDescent="0.2">
      <c r="A187" s="1"/>
      <c r="B187" s="1"/>
      <c r="C187" s="1"/>
      <c r="D187" s="1"/>
      <c r="E187" s="1"/>
      <c r="F187" s="1"/>
      <c r="G187" s="1"/>
      <c r="H187" s="1"/>
      <c r="I187" s="1"/>
      <c r="J187" s="1"/>
      <c r="K187" s="1"/>
      <c r="L187" s="1"/>
    </row>
    <row r="188" spans="1:12" x14ac:dyDescent="0.2">
      <c r="A188" s="1"/>
      <c r="B188" s="1"/>
      <c r="C188" s="1"/>
      <c r="D188" s="1"/>
      <c r="E188" s="1"/>
      <c r="F188" s="1"/>
      <c r="G188" s="1"/>
      <c r="H188" s="1"/>
      <c r="I188" s="1"/>
      <c r="J188" s="1"/>
      <c r="K188" s="1"/>
      <c r="L188" s="1"/>
    </row>
    <row r="189" spans="1:12" x14ac:dyDescent="0.2">
      <c r="A189" s="1"/>
      <c r="B189" s="1"/>
      <c r="C189" s="1"/>
      <c r="D189" s="1"/>
      <c r="E189" s="1"/>
      <c r="F189" s="1"/>
      <c r="G189" s="1"/>
      <c r="H189" s="1"/>
      <c r="I189" s="1"/>
      <c r="J189" s="1"/>
      <c r="K189" s="1"/>
      <c r="L189" s="1"/>
    </row>
    <row r="190" spans="1:12" x14ac:dyDescent="0.2">
      <c r="A190" s="1"/>
      <c r="B190" s="1"/>
      <c r="C190" s="1"/>
      <c r="D190" s="1"/>
      <c r="E190" s="1"/>
      <c r="F190" s="1"/>
      <c r="G190" s="1"/>
      <c r="H190" s="1"/>
      <c r="I190" s="1"/>
      <c r="J190" s="1"/>
      <c r="K190" s="1"/>
      <c r="L190" s="1"/>
    </row>
    <row r="191" spans="1:12" x14ac:dyDescent="0.2">
      <c r="A191" s="1"/>
      <c r="B191" s="1"/>
      <c r="C191" s="1"/>
      <c r="D191" s="1"/>
      <c r="E191" s="1"/>
      <c r="F191" s="1"/>
      <c r="G191" s="1"/>
      <c r="H191" s="1"/>
      <c r="I191" s="1"/>
      <c r="J191" s="1"/>
      <c r="K191" s="1"/>
      <c r="L191" s="1"/>
    </row>
    <row r="192" spans="1:12" x14ac:dyDescent="0.2">
      <c r="A192" s="1"/>
      <c r="B192" s="1"/>
      <c r="C192" s="1"/>
      <c r="D192" s="1"/>
      <c r="E192" s="1"/>
      <c r="F192" s="1"/>
      <c r="G192" s="1"/>
      <c r="H192" s="1"/>
      <c r="I192" s="1"/>
      <c r="J192" s="1"/>
      <c r="K192" s="1"/>
      <c r="L192" s="1"/>
    </row>
    <row r="193" spans="1:12" x14ac:dyDescent="0.2">
      <c r="A193" s="1"/>
      <c r="B193" s="1"/>
      <c r="C193" s="1"/>
      <c r="D193" s="1"/>
      <c r="E193" s="1"/>
      <c r="F193" s="1"/>
      <c r="G193" s="1"/>
      <c r="H193" s="1"/>
      <c r="I193" s="1"/>
      <c r="J193" s="1"/>
      <c r="K193" s="1"/>
      <c r="L193" s="1"/>
    </row>
    <row r="194" spans="1:12" x14ac:dyDescent="0.2">
      <c r="A194" s="1"/>
      <c r="B194" s="1"/>
      <c r="C194" s="1"/>
      <c r="D194" s="1"/>
      <c r="E194" s="1"/>
      <c r="F194" s="1"/>
      <c r="G194" s="1"/>
      <c r="H194" s="1"/>
      <c r="I194" s="1"/>
      <c r="J194" s="1"/>
      <c r="K194" s="1"/>
      <c r="L194" s="1"/>
    </row>
    <row r="195" spans="1:12" x14ac:dyDescent="0.2">
      <c r="A195" s="1"/>
      <c r="B195" s="1"/>
      <c r="C195" s="1"/>
      <c r="D195" s="1"/>
      <c r="E195" s="1"/>
      <c r="F195" s="1"/>
      <c r="G195" s="1"/>
      <c r="H195" s="1"/>
      <c r="I195" s="1"/>
      <c r="J195" s="1"/>
      <c r="K195" s="1"/>
      <c r="L195" s="1"/>
    </row>
    <row r="196" spans="1:12" x14ac:dyDescent="0.2">
      <c r="A196" s="1"/>
      <c r="B196" s="1"/>
      <c r="C196" s="1"/>
      <c r="D196" s="1"/>
      <c r="E196" s="1"/>
      <c r="F196" s="1"/>
      <c r="G196" s="1"/>
      <c r="H196" s="1"/>
      <c r="I196" s="1"/>
      <c r="J196" s="1"/>
      <c r="K196" s="1"/>
      <c r="L196" s="1"/>
    </row>
    <row r="197" spans="1:12" x14ac:dyDescent="0.2">
      <c r="A197" s="1"/>
      <c r="B197" s="1"/>
      <c r="C197" s="1"/>
      <c r="D197" s="1"/>
      <c r="E197" s="1"/>
      <c r="F197" s="1"/>
      <c r="G197" s="1"/>
      <c r="H197" s="1"/>
      <c r="I197" s="1"/>
      <c r="J197" s="1"/>
      <c r="K197" s="1"/>
      <c r="L197" s="1"/>
    </row>
    <row r="198" spans="1:12" x14ac:dyDescent="0.2">
      <c r="A198" s="1"/>
      <c r="B198" s="1"/>
      <c r="C198" s="1"/>
      <c r="D198" s="1"/>
      <c r="E198" s="1"/>
      <c r="F198" s="1"/>
      <c r="G198" s="1"/>
      <c r="H198" s="1"/>
      <c r="I198" s="1"/>
      <c r="J198" s="1"/>
      <c r="K198" s="1"/>
      <c r="L198" s="1"/>
    </row>
    <row r="199" spans="1:12" x14ac:dyDescent="0.2">
      <c r="A199" s="1"/>
      <c r="B199" s="1"/>
      <c r="C199" s="1"/>
      <c r="D199" s="1"/>
      <c r="E199" s="1"/>
      <c r="F199" s="1"/>
      <c r="G199" s="1"/>
      <c r="H199" s="1"/>
      <c r="I199" s="1"/>
      <c r="J199" s="1"/>
      <c r="K199" s="1"/>
      <c r="L199" s="1"/>
    </row>
    <row r="200" spans="1:12" x14ac:dyDescent="0.2">
      <c r="A200" s="1"/>
      <c r="B200" s="1"/>
      <c r="C200" s="1"/>
      <c r="D200" s="1"/>
      <c r="E200" s="1"/>
      <c r="F200" s="1"/>
      <c r="G200" s="1"/>
      <c r="H200" s="1"/>
      <c r="I200" s="1"/>
      <c r="J200" s="1"/>
      <c r="K200" s="1"/>
      <c r="L200" s="1"/>
    </row>
    <row r="201" spans="1:12" x14ac:dyDescent="0.2">
      <c r="A201" s="1"/>
      <c r="B201" s="1"/>
      <c r="C201" s="1"/>
      <c r="D201" s="1"/>
      <c r="E201" s="1"/>
      <c r="F201" s="1"/>
      <c r="G201" s="1"/>
      <c r="H201" s="1"/>
      <c r="I201" s="1"/>
      <c r="J201" s="1"/>
      <c r="K201" s="1"/>
      <c r="L201" s="1"/>
    </row>
    <row r="202" spans="1:12" x14ac:dyDescent="0.2">
      <c r="A202" s="1"/>
      <c r="B202" s="1"/>
      <c r="C202" s="1"/>
      <c r="D202" s="1"/>
      <c r="E202" s="1"/>
      <c r="F202" s="1"/>
      <c r="G202" s="1"/>
      <c r="H202" s="1"/>
      <c r="I202" s="1"/>
      <c r="J202" s="1"/>
      <c r="K202" s="1"/>
      <c r="L202" s="1"/>
    </row>
    <row r="203" spans="1:12" x14ac:dyDescent="0.2">
      <c r="A203" s="1"/>
      <c r="B203" s="1"/>
      <c r="C203" s="1"/>
      <c r="D203" s="1"/>
      <c r="E203" s="1"/>
      <c r="F203" s="1"/>
      <c r="G203" s="1"/>
      <c r="H203" s="1"/>
      <c r="I203" s="1"/>
      <c r="J203" s="1"/>
      <c r="K203" s="1"/>
      <c r="L203" s="1"/>
    </row>
    <row r="204" spans="1:12" x14ac:dyDescent="0.2">
      <c r="A204" s="1"/>
      <c r="B204" s="1"/>
      <c r="C204" s="1"/>
      <c r="D204" s="1"/>
      <c r="E204" s="1"/>
      <c r="F204" s="1"/>
      <c r="G204" s="1"/>
      <c r="H204" s="1"/>
      <c r="I204" s="1"/>
      <c r="J204" s="1"/>
      <c r="K204" s="1"/>
      <c r="L204" s="1"/>
    </row>
    <row r="205" spans="1:12" x14ac:dyDescent="0.2">
      <c r="A205" s="1"/>
      <c r="B205" s="1"/>
      <c r="C205" s="1"/>
      <c r="D205" s="1"/>
      <c r="E205" s="1"/>
      <c r="F205" s="1"/>
      <c r="G205" s="1"/>
      <c r="H205" s="1"/>
      <c r="I205" s="1"/>
      <c r="J205" s="1"/>
      <c r="K205" s="1"/>
      <c r="L205" s="1"/>
    </row>
    <row r="206" spans="1:12" x14ac:dyDescent="0.2">
      <c r="A206" s="1"/>
      <c r="B206" s="1"/>
      <c r="C206" s="1"/>
      <c r="D206" s="1"/>
      <c r="E206" s="1"/>
      <c r="F206" s="1"/>
      <c r="G206" s="1"/>
      <c r="H206" s="1"/>
      <c r="I206" s="1"/>
      <c r="J206" s="1"/>
      <c r="K206" s="1"/>
      <c r="L206" s="1"/>
    </row>
    <row r="207" spans="1:12" x14ac:dyDescent="0.2">
      <c r="A207" s="1"/>
      <c r="B207" s="1"/>
      <c r="C207" s="1"/>
      <c r="D207" s="1"/>
      <c r="E207" s="1"/>
      <c r="F207" s="1"/>
      <c r="G207" s="1"/>
      <c r="H207" s="1"/>
      <c r="I207" s="1"/>
      <c r="J207" s="1"/>
      <c r="K207" s="1"/>
      <c r="L207" s="1"/>
    </row>
    <row r="208" spans="1:12" x14ac:dyDescent="0.2">
      <c r="A208" s="1"/>
      <c r="B208" s="1"/>
      <c r="C208" s="1"/>
      <c r="D208" s="1"/>
      <c r="E208" s="1"/>
      <c r="F208" s="1"/>
      <c r="G208" s="1"/>
      <c r="H208" s="1"/>
      <c r="I208" s="1"/>
      <c r="J208" s="1"/>
      <c r="K208" s="1"/>
      <c r="L208" s="1"/>
    </row>
    <row r="209" spans="1:12" x14ac:dyDescent="0.2">
      <c r="A209" s="1"/>
      <c r="B209" s="1"/>
      <c r="C209" s="1"/>
      <c r="D209" s="1"/>
      <c r="E209" s="1"/>
      <c r="F209" s="1"/>
      <c r="G209" s="1"/>
      <c r="H209" s="1"/>
      <c r="I209" s="1"/>
      <c r="J209" s="1"/>
      <c r="K209" s="1"/>
      <c r="L209" s="1"/>
    </row>
    <row r="210" spans="1:12" x14ac:dyDescent="0.2">
      <c r="A210" s="1"/>
      <c r="B210" s="1"/>
      <c r="C210" s="1"/>
      <c r="D210" s="1"/>
      <c r="E210" s="1"/>
      <c r="F210" s="1"/>
      <c r="G210" s="1"/>
      <c r="H210" s="1"/>
      <c r="I210" s="1"/>
      <c r="J210" s="1"/>
      <c r="K210" s="1"/>
      <c r="L210" s="1"/>
    </row>
    <row r="211" spans="1:12" x14ac:dyDescent="0.2">
      <c r="A211" s="1"/>
      <c r="B211" s="1"/>
      <c r="C211" s="1"/>
      <c r="D211" s="1"/>
      <c r="E211" s="1"/>
      <c r="F211" s="1"/>
      <c r="G211" s="1"/>
      <c r="H211" s="1"/>
      <c r="I211" s="1"/>
      <c r="J211" s="1"/>
      <c r="K211" s="1"/>
      <c r="L211" s="1"/>
    </row>
    <row r="212" spans="1:12" x14ac:dyDescent="0.2">
      <c r="A212" s="1"/>
      <c r="B212" s="1"/>
      <c r="C212" s="1"/>
      <c r="D212" s="1"/>
      <c r="E212" s="1"/>
      <c r="F212" s="1"/>
      <c r="G212" s="1"/>
      <c r="H212" s="1"/>
      <c r="I212" s="1"/>
      <c r="J212" s="1"/>
      <c r="K212" s="1"/>
      <c r="L212" s="1"/>
    </row>
    <row r="213" spans="1:12" x14ac:dyDescent="0.2">
      <c r="A213" s="1"/>
      <c r="B213" s="1"/>
      <c r="C213" s="1"/>
      <c r="D213" s="1"/>
      <c r="E213" s="1"/>
      <c r="F213" s="1"/>
      <c r="G213" s="1"/>
      <c r="H213" s="1"/>
      <c r="I213" s="1"/>
      <c r="J213" s="1"/>
      <c r="K213" s="1"/>
      <c r="L213" s="1"/>
    </row>
    <row r="214" spans="1:12" x14ac:dyDescent="0.2">
      <c r="A214" s="1"/>
      <c r="B214" s="1"/>
      <c r="C214" s="1"/>
      <c r="D214" s="1"/>
      <c r="E214" s="1"/>
      <c r="F214" s="1"/>
      <c r="G214" s="1"/>
      <c r="H214" s="1"/>
      <c r="I214" s="1"/>
      <c r="J214" s="1"/>
      <c r="K214" s="1"/>
      <c r="L214" s="1"/>
    </row>
    <row r="215" spans="1:12" x14ac:dyDescent="0.2">
      <c r="A215" s="1"/>
      <c r="B215" s="1"/>
      <c r="C215" s="1"/>
      <c r="D215" s="1"/>
      <c r="E215" s="1"/>
      <c r="F215" s="1"/>
      <c r="G215" s="1"/>
      <c r="H215" s="1"/>
      <c r="I215" s="1"/>
      <c r="J215" s="1"/>
      <c r="K215" s="1"/>
      <c r="L215" s="1"/>
    </row>
    <row r="216" spans="1:12" x14ac:dyDescent="0.2">
      <c r="A216" s="1"/>
      <c r="B216" s="1"/>
      <c r="C216" s="1"/>
      <c r="D216" s="1"/>
      <c r="E216" s="1"/>
      <c r="F216" s="1"/>
      <c r="G216" s="1"/>
      <c r="H216" s="1"/>
      <c r="I216" s="1"/>
      <c r="J216" s="1"/>
      <c r="K216" s="1"/>
      <c r="L216" s="1"/>
    </row>
    <row r="217" spans="1:12" x14ac:dyDescent="0.2">
      <c r="A217" s="1"/>
      <c r="B217" s="1"/>
      <c r="C217" s="1"/>
      <c r="D217" s="1"/>
      <c r="E217" s="1"/>
      <c r="F217" s="1"/>
      <c r="G217" s="1"/>
      <c r="H217" s="1"/>
      <c r="I217" s="1"/>
      <c r="J217" s="1"/>
      <c r="K217" s="1"/>
      <c r="L217" s="1"/>
    </row>
    <row r="218" spans="1:12" x14ac:dyDescent="0.2">
      <c r="A218" s="1"/>
      <c r="B218" s="1"/>
      <c r="C218" s="1"/>
      <c r="D218" s="1"/>
      <c r="E218" s="1"/>
      <c r="F218" s="1"/>
      <c r="G218" s="1"/>
      <c r="H218" s="1"/>
      <c r="I218" s="1"/>
      <c r="J218" s="1"/>
      <c r="K218" s="1"/>
      <c r="L218" s="1"/>
    </row>
    <row r="219" spans="1:12" x14ac:dyDescent="0.2">
      <c r="A219" s="1"/>
      <c r="B219" s="1"/>
      <c r="C219" s="1"/>
      <c r="D219" s="1"/>
      <c r="E219" s="1"/>
      <c r="F219" s="1"/>
      <c r="G219" s="1"/>
      <c r="H219" s="1"/>
      <c r="I219" s="1"/>
      <c r="J219" s="1"/>
      <c r="K219" s="1"/>
      <c r="L219" s="1"/>
    </row>
    <row r="220" spans="1:12" x14ac:dyDescent="0.2">
      <c r="A220" s="1"/>
      <c r="B220" s="1"/>
      <c r="C220" s="1"/>
      <c r="D220" s="1"/>
      <c r="E220" s="1"/>
      <c r="F220" s="1"/>
      <c r="G220" s="1"/>
      <c r="H220" s="1"/>
      <c r="I220" s="1"/>
      <c r="J220" s="1"/>
      <c r="K220" s="1"/>
      <c r="L220" s="1"/>
    </row>
    <row r="221" spans="1:12" x14ac:dyDescent="0.2">
      <c r="A221" s="1"/>
      <c r="B221" s="1"/>
      <c r="C221" s="1"/>
      <c r="D221" s="1"/>
      <c r="E221" s="1"/>
      <c r="F221" s="1"/>
      <c r="G221" s="1"/>
      <c r="H221" s="1"/>
      <c r="I221" s="1"/>
      <c r="J221" s="1"/>
      <c r="K221" s="1"/>
      <c r="L221" s="1"/>
    </row>
    <row r="222" spans="1:12" x14ac:dyDescent="0.2">
      <c r="A222" s="1"/>
      <c r="B222" s="1"/>
      <c r="C222" s="1"/>
      <c r="D222" s="1"/>
      <c r="E222" s="1"/>
      <c r="F222" s="1"/>
      <c r="G222" s="1"/>
      <c r="H222" s="1"/>
      <c r="I222" s="1"/>
      <c r="J222" s="1"/>
      <c r="K222" s="1"/>
      <c r="L222" s="1"/>
    </row>
    <row r="223" spans="1:12" x14ac:dyDescent="0.2">
      <c r="A223" s="1"/>
      <c r="B223" s="1"/>
      <c r="C223" s="1"/>
      <c r="D223" s="1"/>
      <c r="E223" s="1"/>
      <c r="F223" s="1"/>
      <c r="G223" s="1"/>
      <c r="H223" s="1"/>
      <c r="I223" s="1"/>
      <c r="J223" s="1"/>
      <c r="K223" s="1"/>
      <c r="L223" s="1"/>
    </row>
    <row r="224" spans="1:12" x14ac:dyDescent="0.2">
      <c r="A224" s="1"/>
      <c r="B224" s="1"/>
      <c r="C224" s="1"/>
      <c r="D224" s="1"/>
      <c r="E224" s="1"/>
      <c r="F224" s="1"/>
      <c r="G224" s="1"/>
      <c r="H224" s="1"/>
      <c r="I224" s="1"/>
      <c r="J224" s="1"/>
      <c r="K224" s="1"/>
      <c r="L224" s="1"/>
    </row>
    <row r="225" spans="1:12" x14ac:dyDescent="0.2">
      <c r="A225" s="1"/>
      <c r="B225" s="1"/>
      <c r="C225" s="1"/>
      <c r="D225" s="1"/>
      <c r="E225" s="1"/>
      <c r="F225" s="1"/>
      <c r="G225" s="1"/>
      <c r="H225" s="1"/>
      <c r="I225" s="1"/>
      <c r="J225" s="1"/>
      <c r="K225" s="1"/>
      <c r="L225" s="1"/>
    </row>
    <row r="226" spans="1:12" x14ac:dyDescent="0.2">
      <c r="A226" s="1"/>
      <c r="B226" s="1"/>
      <c r="C226" s="1"/>
      <c r="D226" s="1"/>
      <c r="E226" s="1"/>
      <c r="F226" s="1"/>
      <c r="G226" s="1"/>
      <c r="H226" s="1"/>
      <c r="I226" s="1"/>
      <c r="J226" s="1"/>
      <c r="K226" s="1"/>
      <c r="L226" s="1"/>
    </row>
    <row r="227" spans="1:12" x14ac:dyDescent="0.2">
      <c r="A227" s="1"/>
      <c r="B227" s="1"/>
      <c r="C227" s="1"/>
      <c r="D227" s="1"/>
      <c r="E227" s="1"/>
      <c r="F227" s="1"/>
      <c r="G227" s="1"/>
      <c r="H227" s="1"/>
      <c r="I227" s="1"/>
      <c r="J227" s="1"/>
      <c r="K227" s="1"/>
      <c r="L227" s="1"/>
    </row>
    <row r="228" spans="1:12" x14ac:dyDescent="0.2">
      <c r="A228" s="1"/>
      <c r="B228" s="1"/>
      <c r="C228" s="1"/>
      <c r="D228" s="1"/>
      <c r="E228" s="1"/>
      <c r="F228" s="1"/>
      <c r="G228" s="1"/>
      <c r="H228" s="1"/>
      <c r="I228" s="1"/>
      <c r="J228" s="1"/>
      <c r="K228" s="1"/>
      <c r="L228" s="1"/>
    </row>
    <row r="229" spans="1:12" x14ac:dyDescent="0.2">
      <c r="A229" s="1"/>
      <c r="B229" s="1"/>
      <c r="C229" s="1"/>
      <c r="D229" s="1"/>
      <c r="E229" s="1"/>
      <c r="F229" s="1"/>
      <c r="G229" s="1"/>
      <c r="H229" s="1"/>
      <c r="I229" s="1"/>
      <c r="J229" s="1"/>
      <c r="K229" s="1"/>
      <c r="L229" s="1"/>
    </row>
    <row r="230" spans="1:12" x14ac:dyDescent="0.2">
      <c r="A230" s="1"/>
      <c r="B230" s="1"/>
      <c r="C230" s="1"/>
      <c r="D230" s="1"/>
      <c r="E230" s="1"/>
      <c r="F230" s="1"/>
      <c r="G230" s="1"/>
      <c r="H230" s="1"/>
      <c r="I230" s="1"/>
      <c r="J230" s="1"/>
      <c r="K230" s="1"/>
      <c r="L230" s="1"/>
    </row>
    <row r="231" spans="1:12" x14ac:dyDescent="0.2">
      <c r="A231" s="1"/>
      <c r="B231" s="1"/>
      <c r="C231" s="1"/>
      <c r="D231" s="1"/>
      <c r="E231" s="1"/>
      <c r="F231" s="1"/>
      <c r="G231" s="1"/>
      <c r="H231" s="1"/>
      <c r="I231" s="1"/>
      <c r="J231" s="1"/>
      <c r="K231" s="1"/>
      <c r="L231" s="1"/>
    </row>
    <row r="232" spans="1:12" x14ac:dyDescent="0.2">
      <c r="A232" s="1"/>
      <c r="B232" s="1"/>
      <c r="C232" s="1"/>
      <c r="D232" s="1"/>
      <c r="E232" s="1"/>
      <c r="F232" s="1"/>
      <c r="G232" s="1"/>
      <c r="H232" s="1"/>
      <c r="I232" s="1"/>
      <c r="J232" s="1"/>
      <c r="K232" s="1"/>
      <c r="L232" s="1"/>
    </row>
    <row r="233" spans="1:12" x14ac:dyDescent="0.2">
      <c r="A233" s="1"/>
      <c r="B233" s="1"/>
      <c r="C233" s="1"/>
      <c r="D233" s="1"/>
      <c r="E233" s="1"/>
      <c r="F233" s="1"/>
      <c r="G233" s="1"/>
      <c r="H233" s="1"/>
      <c r="I233" s="1"/>
      <c r="J233" s="1"/>
      <c r="K233" s="1"/>
      <c r="L233" s="1"/>
    </row>
    <row r="234" spans="1:12" x14ac:dyDescent="0.2">
      <c r="A234" s="1"/>
      <c r="B234" s="1"/>
      <c r="C234" s="1"/>
      <c r="D234" s="1"/>
      <c r="E234" s="1"/>
      <c r="F234" s="1"/>
      <c r="G234" s="1"/>
      <c r="H234" s="1"/>
      <c r="I234" s="1"/>
      <c r="J234" s="1"/>
      <c r="K234" s="1"/>
      <c r="L234" s="1"/>
    </row>
    <row r="235" spans="1:12" x14ac:dyDescent="0.2">
      <c r="A235" s="1"/>
      <c r="B235" s="1"/>
      <c r="C235" s="1"/>
      <c r="D235" s="1"/>
      <c r="E235" s="1"/>
      <c r="F235" s="1"/>
      <c r="G235" s="1"/>
      <c r="H235" s="1"/>
      <c r="I235" s="1"/>
      <c r="J235" s="1"/>
      <c r="K235" s="1"/>
      <c r="L235" s="1"/>
    </row>
    <row r="236" spans="1:12" x14ac:dyDescent="0.2">
      <c r="A236" s="1"/>
      <c r="B236" s="1"/>
      <c r="C236" s="1"/>
      <c r="D236" s="1"/>
      <c r="E236" s="1"/>
      <c r="F236" s="1"/>
      <c r="G236" s="1"/>
      <c r="H236" s="1"/>
      <c r="I236" s="1"/>
      <c r="J236" s="1"/>
      <c r="K236" s="1"/>
      <c r="L236" s="1"/>
    </row>
    <row r="237" spans="1:12" x14ac:dyDescent="0.2">
      <c r="A237" s="1"/>
      <c r="B237" s="1"/>
      <c r="C237" s="1"/>
      <c r="D237" s="1"/>
      <c r="E237" s="1"/>
      <c r="F237" s="1"/>
      <c r="G237" s="1"/>
      <c r="H237" s="1"/>
      <c r="I237" s="1"/>
      <c r="J237" s="1"/>
      <c r="K237" s="1"/>
      <c r="L237" s="1"/>
    </row>
    <row r="238" spans="1:12" x14ac:dyDescent="0.2">
      <c r="A238" s="1"/>
      <c r="B238" s="1"/>
      <c r="C238" s="1"/>
      <c r="D238" s="1"/>
      <c r="E238" s="1"/>
      <c r="F238" s="1"/>
      <c r="G238" s="1"/>
      <c r="H238" s="1"/>
      <c r="I238" s="1"/>
      <c r="J238" s="1"/>
      <c r="K238" s="1"/>
      <c r="L238" s="1"/>
    </row>
    <row r="239" spans="1:12" x14ac:dyDescent="0.2">
      <c r="A239" s="1"/>
      <c r="B239" s="1"/>
      <c r="C239" s="1"/>
      <c r="D239" s="1"/>
      <c r="E239" s="1"/>
      <c r="F239" s="1"/>
      <c r="G239" s="1"/>
      <c r="H239" s="1"/>
      <c r="I239" s="1"/>
      <c r="J239" s="1"/>
      <c r="K239" s="1"/>
      <c r="L239" s="1"/>
    </row>
    <row r="240" spans="1:12" x14ac:dyDescent="0.2">
      <c r="A240" s="1"/>
      <c r="B240" s="1"/>
      <c r="C240" s="1"/>
      <c r="D240" s="1"/>
      <c r="E240" s="1"/>
      <c r="F240" s="1"/>
      <c r="G240" s="1"/>
      <c r="H240" s="1"/>
      <c r="I240" s="1"/>
      <c r="J240" s="1"/>
      <c r="K240" s="1"/>
      <c r="L240" s="1"/>
    </row>
    <row r="241" spans="1:12" x14ac:dyDescent="0.2">
      <c r="A241" s="1"/>
      <c r="B241" s="1"/>
      <c r="C241" s="1"/>
      <c r="D241" s="1"/>
      <c r="E241" s="1"/>
      <c r="F241" s="1"/>
      <c r="G241" s="1"/>
      <c r="H241" s="1"/>
      <c r="I241" s="1"/>
      <c r="J241" s="1"/>
      <c r="K241" s="1"/>
      <c r="L241" s="1"/>
    </row>
    <row r="242" spans="1:12" x14ac:dyDescent="0.2">
      <c r="A242" s="1"/>
      <c r="B242" s="1"/>
      <c r="C242" s="1"/>
      <c r="D242" s="1"/>
      <c r="E242" s="1"/>
      <c r="F242" s="1"/>
      <c r="G242" s="1"/>
      <c r="H242" s="1"/>
      <c r="I242" s="1"/>
      <c r="J242" s="1"/>
      <c r="K242" s="1"/>
      <c r="L242" s="1"/>
    </row>
    <row r="243" spans="1:12" x14ac:dyDescent="0.2">
      <c r="A243" s="1"/>
      <c r="B243" s="1"/>
      <c r="C243" s="1"/>
      <c r="D243" s="1"/>
      <c r="E243" s="1"/>
      <c r="F243" s="1"/>
      <c r="G243" s="1"/>
      <c r="H243" s="1"/>
      <c r="I243" s="1"/>
      <c r="J243" s="1"/>
      <c r="K243" s="1"/>
      <c r="L243" s="1"/>
    </row>
    <row r="244" spans="1:12" x14ac:dyDescent="0.2">
      <c r="A244" s="1"/>
      <c r="B244" s="1"/>
      <c r="C244" s="1"/>
      <c r="D244" s="1"/>
      <c r="E244" s="1"/>
      <c r="F244" s="1"/>
      <c r="G244" s="1"/>
      <c r="H244" s="1"/>
      <c r="I244" s="1"/>
      <c r="J244" s="1"/>
      <c r="K244" s="1"/>
      <c r="L244" s="1"/>
    </row>
    <row r="245" spans="1:12" x14ac:dyDescent="0.2">
      <c r="A245" s="1"/>
      <c r="B245" s="1"/>
      <c r="C245" s="1"/>
      <c r="D245" s="1"/>
      <c r="E245" s="1"/>
      <c r="F245" s="1"/>
      <c r="G245" s="1"/>
      <c r="H245" s="1"/>
      <c r="I245" s="1"/>
      <c r="J245" s="1"/>
      <c r="K245" s="1"/>
      <c r="L245" s="1"/>
    </row>
    <row r="246" spans="1:12" x14ac:dyDescent="0.2">
      <c r="A246" s="1"/>
      <c r="B246" s="1"/>
      <c r="C246" s="1"/>
      <c r="D246" s="1"/>
      <c r="E246" s="1"/>
      <c r="F246" s="1"/>
      <c r="G246" s="1"/>
      <c r="H246" s="1"/>
      <c r="I246" s="1"/>
      <c r="J246" s="1"/>
      <c r="K246" s="1"/>
      <c r="L246" s="1"/>
    </row>
    <row r="247" spans="1:12" x14ac:dyDescent="0.2">
      <c r="A247" s="1"/>
      <c r="B247" s="1"/>
      <c r="C247" s="1"/>
      <c r="D247" s="1"/>
      <c r="E247" s="1"/>
      <c r="F247" s="1"/>
      <c r="G247" s="1"/>
      <c r="H247" s="1"/>
      <c r="I247" s="1"/>
      <c r="J247" s="1"/>
      <c r="K247" s="1"/>
      <c r="L247" s="1"/>
    </row>
    <row r="248" spans="1:12" x14ac:dyDescent="0.2">
      <c r="A248" s="1"/>
      <c r="B248" s="1"/>
      <c r="C248" s="1"/>
      <c r="D248" s="1"/>
      <c r="E248" s="1"/>
      <c r="F248" s="1"/>
      <c r="G248" s="1"/>
      <c r="H248" s="1"/>
      <c r="I248" s="1"/>
      <c r="J248" s="1"/>
      <c r="K248" s="1"/>
      <c r="L248" s="1"/>
    </row>
    <row r="249" spans="1:12" x14ac:dyDescent="0.2">
      <c r="A249" s="1"/>
      <c r="B249" s="1"/>
      <c r="C249" s="1"/>
      <c r="D249" s="1"/>
      <c r="E249" s="1"/>
      <c r="F249" s="1"/>
      <c r="G249" s="1"/>
      <c r="H249" s="1"/>
      <c r="I249" s="1"/>
      <c r="J249" s="1"/>
      <c r="K249" s="1"/>
      <c r="L249" s="1"/>
    </row>
    <row r="250" spans="1:12" x14ac:dyDescent="0.2">
      <c r="A250" s="1"/>
      <c r="B250" s="1"/>
      <c r="C250" s="1"/>
      <c r="D250" s="1"/>
      <c r="E250" s="1"/>
      <c r="F250" s="1"/>
      <c r="G250" s="1"/>
      <c r="H250" s="1"/>
      <c r="I250" s="1"/>
      <c r="J250" s="1"/>
      <c r="K250" s="1"/>
      <c r="L250" s="1"/>
    </row>
    <row r="251" spans="1:12" x14ac:dyDescent="0.2">
      <c r="A251" s="1"/>
      <c r="B251" s="1"/>
      <c r="C251" s="1"/>
      <c r="D251" s="1"/>
      <c r="E251" s="1"/>
      <c r="F251" s="1"/>
      <c r="G251" s="1"/>
      <c r="H251" s="1"/>
      <c r="I251" s="1"/>
      <c r="J251" s="1"/>
      <c r="K251" s="1"/>
      <c r="L251" s="1"/>
    </row>
    <row r="252" spans="1:12" x14ac:dyDescent="0.2">
      <c r="A252" s="1"/>
      <c r="B252" s="1"/>
      <c r="C252" s="1"/>
      <c r="D252" s="1"/>
      <c r="E252" s="1"/>
      <c r="F252" s="1"/>
      <c r="G252" s="1"/>
      <c r="H252" s="1"/>
      <c r="I252" s="1"/>
      <c r="J252" s="1"/>
      <c r="K252" s="1"/>
      <c r="L252" s="1"/>
    </row>
    <row r="253" spans="1:12" x14ac:dyDescent="0.2">
      <c r="A253" s="1"/>
      <c r="B253" s="1"/>
      <c r="C253" s="1"/>
      <c r="D253" s="1"/>
      <c r="E253" s="1"/>
      <c r="F253" s="1"/>
      <c r="G253" s="1"/>
      <c r="H253" s="1"/>
      <c r="I253" s="1"/>
      <c r="J253" s="1"/>
      <c r="K253" s="1"/>
      <c r="L253" s="1"/>
    </row>
    <row r="254" spans="1:12" x14ac:dyDescent="0.2">
      <c r="A254" s="1"/>
      <c r="B254" s="1"/>
      <c r="C254" s="1"/>
      <c r="D254" s="1"/>
      <c r="E254" s="1"/>
      <c r="F254" s="1"/>
      <c r="G254" s="1"/>
      <c r="H254" s="1"/>
      <c r="I254" s="1"/>
      <c r="J254" s="1"/>
      <c r="K254" s="1"/>
      <c r="L254" s="1"/>
    </row>
    <row r="255" spans="1:12" x14ac:dyDescent="0.2">
      <c r="A255" s="1"/>
      <c r="B255" s="1"/>
      <c r="C255" s="1"/>
      <c r="D255" s="1"/>
      <c r="E255" s="1"/>
      <c r="F255" s="1"/>
      <c r="G255" s="1"/>
      <c r="H255" s="1"/>
      <c r="I255" s="1"/>
      <c r="J255" s="1"/>
      <c r="K255" s="1"/>
      <c r="L255" s="1"/>
    </row>
    <row r="256" spans="1:12" x14ac:dyDescent="0.2">
      <c r="A256" s="1"/>
      <c r="B256" s="1"/>
      <c r="C256" s="1"/>
      <c r="D256" s="1"/>
      <c r="E256" s="1"/>
      <c r="F256" s="1"/>
      <c r="G256" s="1"/>
      <c r="H256" s="1"/>
      <c r="I256" s="1"/>
      <c r="J256" s="1"/>
      <c r="K256" s="1"/>
      <c r="L256" s="1"/>
    </row>
    <row r="257" spans="1:12" x14ac:dyDescent="0.2">
      <c r="A257" s="1"/>
      <c r="B257" s="1"/>
      <c r="C257" s="1"/>
      <c r="D257" s="1"/>
      <c r="E257" s="1"/>
      <c r="F257" s="1"/>
      <c r="G257" s="1"/>
      <c r="H257" s="1"/>
      <c r="I257" s="1"/>
      <c r="J257" s="1"/>
      <c r="K257" s="1"/>
      <c r="L257" s="1"/>
    </row>
    <row r="258" spans="1:12" x14ac:dyDescent="0.2">
      <c r="A258" s="1"/>
      <c r="B258" s="1"/>
      <c r="C258" s="1"/>
      <c r="D258" s="1"/>
      <c r="E258" s="1"/>
      <c r="F258" s="1"/>
      <c r="G258" s="1"/>
      <c r="H258" s="1"/>
      <c r="I258" s="1"/>
      <c r="J258" s="1"/>
      <c r="K258" s="1"/>
      <c r="L258" s="1"/>
    </row>
    <row r="259" spans="1:12" x14ac:dyDescent="0.2">
      <c r="A259" s="1"/>
      <c r="B259" s="1"/>
      <c r="C259" s="1"/>
      <c r="D259" s="1"/>
      <c r="E259" s="1"/>
      <c r="F259" s="1"/>
      <c r="G259" s="1"/>
      <c r="H259" s="1"/>
      <c r="I259" s="1"/>
      <c r="J259" s="1"/>
      <c r="K259" s="1"/>
      <c r="L259" s="1"/>
    </row>
    <row r="260" spans="1:12" x14ac:dyDescent="0.2">
      <c r="A260" s="1"/>
      <c r="B260" s="1"/>
      <c r="C260" s="1"/>
      <c r="D260" s="1"/>
      <c r="E260" s="1"/>
      <c r="F260" s="1"/>
      <c r="G260" s="1"/>
      <c r="H260" s="1"/>
      <c r="I260" s="1"/>
      <c r="J260" s="1"/>
      <c r="K260" s="1"/>
      <c r="L260" s="1"/>
    </row>
    <row r="261" spans="1:12" x14ac:dyDescent="0.2">
      <c r="A261" s="1"/>
      <c r="B261" s="1"/>
      <c r="C261" s="1"/>
      <c r="D261" s="1"/>
      <c r="E261" s="1"/>
      <c r="F261" s="1"/>
      <c r="G261" s="1"/>
      <c r="H261" s="1"/>
      <c r="I261" s="1"/>
      <c r="J261" s="1"/>
      <c r="K261" s="1"/>
      <c r="L261" s="1"/>
    </row>
    <row r="262" spans="1:12" x14ac:dyDescent="0.2">
      <c r="A262" s="1"/>
      <c r="B262" s="1"/>
      <c r="C262" s="1"/>
      <c r="D262" s="1"/>
      <c r="E262" s="1"/>
      <c r="F262" s="1"/>
      <c r="G262" s="1"/>
      <c r="H262" s="1"/>
      <c r="I262" s="1"/>
      <c r="J262" s="1"/>
      <c r="K262" s="1"/>
      <c r="L262" s="1"/>
    </row>
    <row r="263" spans="1:12" x14ac:dyDescent="0.2">
      <c r="A263" s="1"/>
      <c r="B263" s="1"/>
      <c r="C263" s="1"/>
      <c r="D263" s="1"/>
      <c r="E263" s="1"/>
      <c r="F263" s="1"/>
      <c r="G263" s="1"/>
      <c r="H263" s="1"/>
      <c r="I263" s="1"/>
      <c r="J263" s="1"/>
      <c r="K263" s="1"/>
      <c r="L263" s="1"/>
    </row>
    <row r="264" spans="1:12" x14ac:dyDescent="0.2">
      <c r="A264" s="1"/>
      <c r="B264" s="1"/>
      <c r="C264" s="1"/>
      <c r="D264" s="1"/>
      <c r="E264" s="1"/>
      <c r="F264" s="1"/>
      <c r="G264" s="1"/>
      <c r="H264" s="1"/>
      <c r="I264" s="1"/>
      <c r="J264" s="1"/>
      <c r="K264" s="1"/>
      <c r="L264" s="1"/>
    </row>
    <row r="265" spans="1:12" x14ac:dyDescent="0.2">
      <c r="A265" s="1"/>
      <c r="B265" s="1"/>
      <c r="C265" s="1"/>
      <c r="D265" s="1"/>
      <c r="E265" s="1"/>
      <c r="F265" s="1"/>
      <c r="G265" s="1"/>
      <c r="H265" s="1"/>
      <c r="I265" s="1"/>
      <c r="J265" s="1"/>
      <c r="K265" s="1"/>
      <c r="L265" s="1"/>
    </row>
  </sheetData>
  <sheetProtection algorithmName="SHA-512" hashValue="6pTGI2IBXb70K5/SGKeHzCRE4A24gNpIDGTHJhLhu36rT4lgpu9MfjW9Wluy44Fs8xZ0aPNRIAvDS/kuntlE9A==" saltValue="riFGd+P0pJNhrBivkF6T5A==" spinCount="100000" sheet="1" objects="1" scenarios="1"/>
  <mergeCells count="3">
    <mergeCell ref="B4:J4"/>
    <mergeCell ref="B2:J2"/>
    <mergeCell ref="B16:I16"/>
  </mergeCells>
  <phoneticPr fontId="0" type="noConversion"/>
  <pageMargins left="0.75" right="0.75" top="1" bottom="1" header="0.5" footer="0.5"/>
  <pageSetup orientation="portrait"/>
  <headerFooter alignWithMargins="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I165"/>
  <sheetViews>
    <sheetView topLeftCell="A22" zoomScaleNormal="100" workbookViewId="0">
      <selection activeCell="C33" sqref="C33"/>
    </sheetView>
  </sheetViews>
  <sheetFormatPr defaultColWidth="11.42578125" defaultRowHeight="12.75" x14ac:dyDescent="0.2"/>
  <cols>
    <col min="1" max="1" width="5.42578125" style="67" customWidth="1"/>
    <col min="2" max="2" width="64.28515625" style="67" customWidth="1"/>
    <col min="3" max="3" width="22.85546875" style="67" customWidth="1"/>
    <col min="4" max="4" width="12.85546875" style="67" bestFit="1" customWidth="1"/>
    <col min="5" max="5" width="29.7109375" style="67" bestFit="1" customWidth="1"/>
    <col min="6" max="16384" width="11.42578125" style="67"/>
  </cols>
  <sheetData>
    <row r="1" spans="1:9" x14ac:dyDescent="0.2">
      <c r="A1" s="1"/>
      <c r="B1" s="1"/>
      <c r="C1" s="7"/>
      <c r="D1" s="1"/>
      <c r="E1" s="1"/>
      <c r="F1" s="1"/>
      <c r="G1" s="1"/>
      <c r="H1" s="1"/>
      <c r="I1" s="1"/>
    </row>
    <row r="2" spans="1:9" ht="18" x14ac:dyDescent="0.25">
      <c r="A2" s="1"/>
      <c r="B2" s="567" t="s">
        <v>344</v>
      </c>
      <c r="C2" s="567"/>
    </row>
    <row r="3" spans="1:9" x14ac:dyDescent="0.2">
      <c r="A3" s="1"/>
      <c r="B3" s="23"/>
      <c r="C3" s="7"/>
      <c r="D3" s="1"/>
      <c r="E3" s="1"/>
      <c r="F3" s="1"/>
      <c r="G3" s="1"/>
      <c r="H3" s="1"/>
      <c r="I3" s="1"/>
    </row>
    <row r="4" spans="1:9" ht="15" x14ac:dyDescent="0.25">
      <c r="A4" s="1"/>
      <c r="B4" s="578" t="s">
        <v>46</v>
      </c>
      <c r="C4" s="579"/>
      <c r="D4" s="1"/>
      <c r="E4" s="1"/>
      <c r="F4" s="1"/>
      <c r="G4" s="1"/>
      <c r="H4" s="1"/>
      <c r="I4" s="1"/>
    </row>
    <row r="5" spans="1:9" x14ac:dyDescent="0.2">
      <c r="A5" s="1"/>
      <c r="B5" s="333" t="s">
        <v>116</v>
      </c>
      <c r="C5" s="335">
        <f>+Total_number_of_MO_trays_permanently_in_use_in_the_larval_room</f>
        <v>248</v>
      </c>
      <c r="D5" s="32"/>
      <c r="E5" s="33"/>
      <c r="F5" s="2"/>
      <c r="G5" s="1"/>
      <c r="H5" s="1"/>
      <c r="I5" s="1"/>
    </row>
    <row r="6" spans="1:9" x14ac:dyDescent="0.2">
      <c r="A6" s="1"/>
      <c r="B6" s="333" t="s">
        <v>83</v>
      </c>
      <c r="C6" s="336">
        <v>1.3</v>
      </c>
      <c r="D6" s="32"/>
      <c r="E6" s="33"/>
      <c r="F6" s="2"/>
      <c r="G6" s="1"/>
      <c r="H6" s="1"/>
      <c r="I6" s="1"/>
    </row>
    <row r="7" spans="1:9" x14ac:dyDescent="0.2">
      <c r="A7" s="1"/>
      <c r="B7" s="341" t="s">
        <v>47</v>
      </c>
      <c r="C7" s="343">
        <f>+ROUNDUP(C5*Oversize_factor_larval_trays,0)</f>
        <v>323</v>
      </c>
      <c r="D7" s="1"/>
      <c r="E7" s="33"/>
      <c r="F7" s="1"/>
      <c r="G7" s="1"/>
      <c r="H7" s="1"/>
      <c r="I7" s="1"/>
    </row>
    <row r="8" spans="1:9" x14ac:dyDescent="0.2">
      <c r="A8" s="1"/>
      <c r="B8" s="34"/>
      <c r="C8" s="84"/>
      <c r="D8" s="1"/>
      <c r="E8" s="1"/>
      <c r="F8" s="1"/>
      <c r="G8" s="1"/>
      <c r="H8" s="1"/>
      <c r="I8" s="1"/>
    </row>
    <row r="9" spans="1:9" ht="15" x14ac:dyDescent="0.25">
      <c r="A9" s="1"/>
      <c r="B9" s="578" t="s">
        <v>48</v>
      </c>
      <c r="C9" s="579"/>
      <c r="D9" s="1"/>
      <c r="E9" s="1"/>
      <c r="F9" s="1"/>
      <c r="G9" s="1"/>
      <c r="H9" s="1"/>
      <c r="I9" s="1"/>
    </row>
    <row r="10" spans="1:9" x14ac:dyDescent="0.2">
      <c r="A10" s="1"/>
      <c r="B10" s="333" t="s">
        <v>234</v>
      </c>
      <c r="C10" s="337">
        <f>+Total_number_of_racks_permanently_in_use_in_the_larval_room</f>
        <v>8</v>
      </c>
      <c r="D10" s="1"/>
      <c r="E10" s="33"/>
      <c r="F10" s="1"/>
      <c r="G10" s="1"/>
      <c r="H10" s="1"/>
      <c r="I10" s="1"/>
    </row>
    <row r="11" spans="1:9" x14ac:dyDescent="0.2">
      <c r="A11" s="1"/>
      <c r="B11" s="333" t="s">
        <v>83</v>
      </c>
      <c r="C11" s="336">
        <v>1.2</v>
      </c>
      <c r="D11" s="32"/>
      <c r="E11" s="33"/>
      <c r="F11" s="2"/>
      <c r="G11" s="1"/>
      <c r="H11" s="1"/>
      <c r="I11" s="1"/>
    </row>
    <row r="12" spans="1:9" x14ac:dyDescent="0.2">
      <c r="A12" s="1"/>
      <c r="B12" s="341" t="s">
        <v>49</v>
      </c>
      <c r="C12" s="342">
        <f>+ROUNDUP(C10*Oversize_factor_racks,0)</f>
        <v>10</v>
      </c>
      <c r="D12" s="1"/>
      <c r="E12" s="33"/>
      <c r="F12" s="1"/>
      <c r="G12" s="1"/>
      <c r="H12" s="1"/>
      <c r="I12" s="1"/>
    </row>
    <row r="13" spans="1:9" x14ac:dyDescent="0.2">
      <c r="A13" s="1"/>
      <c r="B13" s="34"/>
      <c r="C13" s="84"/>
      <c r="D13" s="35"/>
      <c r="E13" s="1"/>
      <c r="F13" s="1"/>
      <c r="G13" s="1"/>
      <c r="H13" s="1"/>
      <c r="I13" s="1"/>
    </row>
    <row r="14" spans="1:9" ht="15" x14ac:dyDescent="0.25">
      <c r="A14" s="1"/>
      <c r="B14" s="578" t="s">
        <v>335</v>
      </c>
      <c r="C14" s="579"/>
      <c r="D14" s="35"/>
      <c r="E14" s="1"/>
      <c r="F14" s="1"/>
      <c r="G14" s="1"/>
      <c r="H14" s="1"/>
      <c r="I14" s="1"/>
    </row>
    <row r="15" spans="1:9" ht="25.5" x14ac:dyDescent="0.2">
      <c r="A15" s="1"/>
      <c r="B15" s="331" t="s">
        <v>79</v>
      </c>
      <c r="C15" s="332">
        <f>+Total_number_of_cages_permanently_in_use_for_MO_egg_production__Preoviposition_Oviposition</f>
        <v>22</v>
      </c>
      <c r="D15" s="35"/>
      <c r="E15" s="1"/>
      <c r="F15" s="1"/>
      <c r="G15" s="1"/>
      <c r="H15" s="1"/>
      <c r="I15" s="1"/>
    </row>
    <row r="16" spans="1:9" x14ac:dyDescent="0.2">
      <c r="A16" s="1"/>
      <c r="B16" s="333" t="s">
        <v>83</v>
      </c>
      <c r="C16" s="334">
        <v>1.2</v>
      </c>
      <c r="D16" s="32"/>
      <c r="E16" s="33"/>
      <c r="F16" s="2"/>
      <c r="G16" s="1"/>
      <c r="H16" s="1"/>
      <c r="I16" s="1"/>
    </row>
    <row r="17" spans="1:9" x14ac:dyDescent="0.2">
      <c r="A17" s="1"/>
      <c r="B17" s="339" t="s">
        <v>241</v>
      </c>
      <c r="C17" s="340">
        <f>+Oversize_factor_cages*C15</f>
        <v>26.4</v>
      </c>
      <c r="D17" s="35"/>
      <c r="E17" s="33"/>
      <c r="F17" s="1"/>
      <c r="G17" s="1"/>
      <c r="H17" s="1"/>
      <c r="I17" s="1"/>
    </row>
    <row r="18" spans="1:9" x14ac:dyDescent="0.2">
      <c r="A18" s="1"/>
      <c r="B18" s="34"/>
      <c r="C18" s="84"/>
      <c r="D18" s="35"/>
      <c r="E18" s="1"/>
      <c r="F18" s="1"/>
      <c r="G18" s="1"/>
      <c r="H18" s="1"/>
      <c r="I18" s="1"/>
    </row>
    <row r="19" spans="1:9" ht="15" x14ac:dyDescent="0.25">
      <c r="A19" s="1"/>
      <c r="B19" s="578" t="s">
        <v>334</v>
      </c>
      <c r="C19" s="579"/>
      <c r="D19" s="35"/>
      <c r="E19" s="1"/>
      <c r="F19" s="1"/>
      <c r="G19" s="1"/>
      <c r="H19" s="1"/>
      <c r="I19" s="1"/>
    </row>
    <row r="20" spans="1:9" x14ac:dyDescent="0.2">
      <c r="A20" s="1"/>
      <c r="B20" s="331" t="s">
        <v>242</v>
      </c>
      <c r="C20" s="332">
        <f>+Total_number_of_cages_permanently_in_use_in_the_emergence_center</f>
        <v>60</v>
      </c>
      <c r="D20" s="35"/>
      <c r="E20" s="1"/>
      <c r="F20" s="1"/>
      <c r="G20" s="1"/>
      <c r="H20" s="1"/>
      <c r="I20" s="1"/>
    </row>
    <row r="21" spans="1:9" x14ac:dyDescent="0.2">
      <c r="A21" s="1"/>
      <c r="B21" s="333" t="s">
        <v>83</v>
      </c>
      <c r="C21" s="334">
        <v>1.3</v>
      </c>
      <c r="D21" s="32"/>
      <c r="E21" s="33"/>
      <c r="F21" s="2"/>
      <c r="G21" s="1"/>
      <c r="H21" s="1"/>
      <c r="I21" s="1"/>
    </row>
    <row r="22" spans="1:9" x14ac:dyDescent="0.2">
      <c r="A22" s="1"/>
      <c r="B22" s="339" t="s">
        <v>241</v>
      </c>
      <c r="C22" s="340">
        <f>+C20*C21</f>
        <v>78</v>
      </c>
      <c r="D22" s="35"/>
      <c r="E22" s="33"/>
      <c r="F22" s="1"/>
      <c r="G22" s="1"/>
      <c r="H22" s="1"/>
      <c r="I22" s="1"/>
    </row>
    <row r="23" spans="1:9" x14ac:dyDescent="0.2">
      <c r="A23" s="1"/>
      <c r="B23" s="1"/>
      <c r="C23" s="85"/>
      <c r="D23" s="35"/>
      <c r="E23" s="1"/>
      <c r="F23" s="1"/>
      <c r="G23" s="1"/>
      <c r="H23" s="1"/>
      <c r="I23" s="1"/>
    </row>
    <row r="24" spans="1:9" ht="15" x14ac:dyDescent="0.25">
      <c r="A24" s="1"/>
      <c r="B24" s="576" t="s">
        <v>264</v>
      </c>
      <c r="C24" s="577"/>
      <c r="D24" s="35"/>
      <c r="E24" s="1"/>
      <c r="F24" s="1"/>
      <c r="G24" s="1"/>
      <c r="H24" s="1"/>
      <c r="I24" s="1"/>
    </row>
    <row r="25" spans="1:9" x14ac:dyDescent="0.2">
      <c r="A25" s="1"/>
      <c r="B25" s="575" t="s">
        <v>63</v>
      </c>
      <c r="C25" s="575"/>
      <c r="D25" s="35"/>
      <c r="E25" s="1"/>
      <c r="F25" s="1"/>
      <c r="G25" s="1"/>
      <c r="H25" s="1"/>
      <c r="I25" s="1"/>
    </row>
    <row r="26" spans="1:9" x14ac:dyDescent="0.2">
      <c r="A26" s="1"/>
      <c r="B26" s="312" t="s">
        <v>317</v>
      </c>
      <c r="C26" s="313">
        <f>+'04 Release Facility'!C4/7</f>
        <v>0.14285714285714285</v>
      </c>
      <c r="D26" s="35"/>
      <c r="E26" s="1"/>
      <c r="F26" s="1"/>
      <c r="G26" s="1"/>
      <c r="H26" s="1"/>
      <c r="I26" s="1"/>
    </row>
    <row r="27" spans="1:9" x14ac:dyDescent="0.2">
      <c r="B27" s="314" t="s">
        <v>318</v>
      </c>
      <c r="C27" s="459">
        <v>150000</v>
      </c>
      <c r="D27" s="35"/>
      <c r="E27" s="1"/>
      <c r="F27" s="1"/>
      <c r="G27" s="1"/>
      <c r="H27" s="1"/>
      <c r="I27" s="1"/>
    </row>
    <row r="28" spans="1:9" x14ac:dyDescent="0.2">
      <c r="B28" s="314" t="s">
        <v>117</v>
      </c>
      <c r="C28" s="315">
        <v>0.35</v>
      </c>
      <c r="D28" s="35"/>
      <c r="E28" s="1"/>
      <c r="F28" s="1"/>
      <c r="G28" s="1"/>
      <c r="H28" s="1"/>
      <c r="I28" s="1"/>
    </row>
    <row r="29" spans="1:9" x14ac:dyDescent="0.2">
      <c r="B29" s="314" t="s">
        <v>25</v>
      </c>
      <c r="C29" s="316">
        <f>+'04 Release Facility'!C8</f>
        <v>1</v>
      </c>
      <c r="D29" s="35"/>
      <c r="E29" s="1"/>
      <c r="F29" s="1"/>
      <c r="G29" s="1"/>
      <c r="H29" s="1"/>
      <c r="I29" s="1"/>
    </row>
    <row r="30" spans="1:9" x14ac:dyDescent="0.2">
      <c r="B30" s="314" t="s">
        <v>35</v>
      </c>
      <c r="C30" s="317">
        <f>+C29*C28</f>
        <v>0.35</v>
      </c>
      <c r="D30" s="35"/>
      <c r="E30" s="1"/>
      <c r="F30" s="1"/>
      <c r="G30" s="1"/>
      <c r="H30" s="1"/>
      <c r="I30" s="1"/>
    </row>
    <row r="31" spans="1:9" x14ac:dyDescent="0.2">
      <c r="B31" s="314" t="s">
        <v>208</v>
      </c>
      <c r="C31" s="461">
        <v>12</v>
      </c>
      <c r="D31" s="35"/>
      <c r="E31" s="1"/>
      <c r="F31" s="1"/>
      <c r="G31" s="1"/>
      <c r="H31" s="1"/>
      <c r="I31" s="1"/>
    </row>
    <row r="32" spans="1:9" x14ac:dyDescent="0.2">
      <c r="B32" s="318" t="s">
        <v>261</v>
      </c>
      <c r="C32" s="319" t="s">
        <v>263</v>
      </c>
      <c r="D32" s="35"/>
      <c r="E32" s="1"/>
      <c r="F32" s="1"/>
      <c r="G32" s="1"/>
      <c r="H32" s="1"/>
      <c r="I32" s="1"/>
    </row>
    <row r="33" spans="1:9" x14ac:dyDescent="0.2">
      <c r="B33" s="314" t="s">
        <v>206</v>
      </c>
      <c r="C33" s="320">
        <f>+IF(C32="yes",1+ROUNDUP(C30/C31,0),ROUNDUP(C30/C31,0))</f>
        <v>1</v>
      </c>
      <c r="D33" s="35"/>
      <c r="E33" s="1"/>
      <c r="F33" s="1"/>
      <c r="G33" s="1"/>
      <c r="H33" s="1"/>
      <c r="I33" s="1"/>
    </row>
    <row r="34" spans="1:9" x14ac:dyDescent="0.2">
      <c r="B34" s="314" t="s">
        <v>207</v>
      </c>
      <c r="C34" s="317">
        <f>+C30/C33</f>
        <v>0.35</v>
      </c>
      <c r="D34" s="35"/>
      <c r="E34" s="1"/>
      <c r="F34" s="1"/>
      <c r="G34" s="1"/>
      <c r="H34" s="1"/>
      <c r="I34" s="1"/>
    </row>
    <row r="35" spans="1:9" x14ac:dyDescent="0.2">
      <c r="A35" s="1"/>
      <c r="B35" s="575" t="s">
        <v>240</v>
      </c>
      <c r="C35" s="575"/>
      <c r="D35" s="35"/>
      <c r="E35" s="1"/>
      <c r="F35" s="1"/>
      <c r="G35" s="1"/>
      <c r="H35" s="1"/>
      <c r="I35" s="1"/>
    </row>
    <row r="36" spans="1:9" x14ac:dyDescent="0.2">
      <c r="A36" s="1"/>
      <c r="B36" s="312" t="s">
        <v>178</v>
      </c>
      <c r="C36" s="321">
        <f>+'05 Mass rearing Facility'!C12*Egg_hatching_rate*Survival_eggs_to_pupae*L1_per_colony_tray/1000000</f>
        <v>0.4099949052631579</v>
      </c>
      <c r="D36" s="35"/>
      <c r="E36" s="1"/>
      <c r="F36" s="1"/>
      <c r="G36" s="1"/>
      <c r="H36" s="1"/>
      <c r="I36" s="1"/>
    </row>
    <row r="37" spans="1:9" x14ac:dyDescent="0.2">
      <c r="A37" s="1"/>
      <c r="B37" s="312" t="s">
        <v>324</v>
      </c>
      <c r="C37" s="460">
        <v>0.8</v>
      </c>
      <c r="D37" s="35"/>
      <c r="E37" s="1"/>
      <c r="F37" s="1"/>
      <c r="G37" s="1"/>
      <c r="H37" s="1"/>
      <c r="I37" s="1"/>
    </row>
    <row r="38" spans="1:9" x14ac:dyDescent="0.2">
      <c r="B38" s="314" t="s">
        <v>382</v>
      </c>
      <c r="C38" s="322">
        <v>0.1</v>
      </c>
      <c r="D38" s="118"/>
      <c r="E38" s="1"/>
      <c r="F38" s="1"/>
      <c r="G38" s="1"/>
      <c r="H38" s="1"/>
      <c r="I38" s="1"/>
    </row>
    <row r="39" spans="1:9" x14ac:dyDescent="0.2">
      <c r="B39" s="314" t="s">
        <v>35</v>
      </c>
      <c r="C39" s="317">
        <f>+C36/C38</f>
        <v>4.0999490526315787</v>
      </c>
      <c r="D39" s="35"/>
      <c r="E39" s="1"/>
      <c r="F39" s="1"/>
      <c r="G39" s="1"/>
      <c r="H39" s="1"/>
      <c r="I39" s="1"/>
    </row>
    <row r="40" spans="1:9" x14ac:dyDescent="0.2">
      <c r="B40" s="314" t="s">
        <v>208</v>
      </c>
      <c r="C40" s="461">
        <v>5</v>
      </c>
      <c r="D40" s="35"/>
      <c r="E40" s="1"/>
      <c r="F40" s="1"/>
      <c r="G40" s="1"/>
      <c r="H40" s="1"/>
      <c r="I40" s="1"/>
    </row>
    <row r="41" spans="1:9" x14ac:dyDescent="0.2">
      <c r="B41" s="318" t="s">
        <v>261</v>
      </c>
      <c r="C41" s="319" t="s">
        <v>262</v>
      </c>
      <c r="D41" s="35"/>
      <c r="E41" s="1"/>
      <c r="F41" s="1"/>
      <c r="G41" s="1"/>
      <c r="H41" s="1"/>
      <c r="I41" s="1"/>
    </row>
    <row r="42" spans="1:9" x14ac:dyDescent="0.2">
      <c r="B42" s="314" t="s">
        <v>206</v>
      </c>
      <c r="C42" s="320">
        <f>+IF(C41="yes",1+ROUNDUP(C36/(C38*C40),0),ROUNDUP(C36/(C38*C40),0))</f>
        <v>2</v>
      </c>
      <c r="D42" s="35"/>
      <c r="E42" s="1"/>
      <c r="F42" s="1"/>
      <c r="G42" s="1"/>
      <c r="H42" s="1"/>
      <c r="I42" s="1"/>
    </row>
    <row r="43" spans="1:9" x14ac:dyDescent="0.2">
      <c r="B43" s="314" t="s">
        <v>207</v>
      </c>
      <c r="C43" s="317">
        <f>+C39/C42</f>
        <v>2.0499745263157894</v>
      </c>
      <c r="D43" s="35"/>
      <c r="E43" s="1"/>
      <c r="F43" s="1"/>
      <c r="G43" s="1"/>
      <c r="H43" s="1"/>
      <c r="I43" s="1"/>
    </row>
    <row r="44" spans="1:9" x14ac:dyDescent="0.2">
      <c r="A44" s="1"/>
      <c r="B44" s="575" t="s">
        <v>319</v>
      </c>
      <c r="C44" s="575"/>
      <c r="D44" s="35"/>
      <c r="E44" s="1"/>
      <c r="F44" s="1"/>
      <c r="G44" s="1"/>
      <c r="H44" s="1"/>
      <c r="I44" s="1"/>
    </row>
    <row r="45" spans="1:9" x14ac:dyDescent="0.2">
      <c r="B45" s="323" t="s">
        <v>209</v>
      </c>
      <c r="C45" s="324">
        <f>+Number_of_MO_larval_trays_to_be_loaded_with_L1_per_day</f>
        <v>31</v>
      </c>
      <c r="D45" s="35"/>
      <c r="E45" s="1"/>
      <c r="F45" s="1"/>
      <c r="G45" s="1"/>
      <c r="H45" s="1"/>
      <c r="I45" s="1"/>
    </row>
    <row r="46" spans="1:9" x14ac:dyDescent="0.2">
      <c r="B46" s="325" t="s">
        <v>65</v>
      </c>
      <c r="C46" s="462">
        <v>20</v>
      </c>
      <c r="D46" s="35"/>
      <c r="E46" s="1"/>
      <c r="F46" s="1"/>
      <c r="G46" s="1"/>
      <c r="H46" s="1"/>
      <c r="I46" s="1"/>
    </row>
    <row r="47" spans="1:9" x14ac:dyDescent="0.2">
      <c r="B47" s="314" t="s">
        <v>35</v>
      </c>
      <c r="C47" s="317">
        <f>+C45/C46</f>
        <v>1.55</v>
      </c>
      <c r="D47" s="35"/>
      <c r="E47" s="1"/>
      <c r="F47" s="1"/>
      <c r="G47" s="1"/>
      <c r="H47" s="1"/>
      <c r="I47" s="1"/>
    </row>
    <row r="48" spans="1:9" x14ac:dyDescent="0.2">
      <c r="B48" s="314" t="s">
        <v>208</v>
      </c>
      <c r="C48" s="461">
        <v>4</v>
      </c>
      <c r="D48" s="35"/>
      <c r="E48" s="1"/>
      <c r="F48" s="1"/>
      <c r="G48" s="1"/>
      <c r="H48" s="1"/>
      <c r="I48" s="1"/>
    </row>
    <row r="49" spans="1:9" x14ac:dyDescent="0.2">
      <c r="B49" s="318" t="s">
        <v>261</v>
      </c>
      <c r="C49" s="319" t="s">
        <v>262</v>
      </c>
      <c r="D49" s="35"/>
      <c r="E49" s="1"/>
      <c r="F49" s="1"/>
      <c r="G49" s="1"/>
      <c r="H49" s="1"/>
      <c r="I49" s="1"/>
    </row>
    <row r="50" spans="1:9" x14ac:dyDescent="0.2">
      <c r="B50" s="314" t="s">
        <v>206</v>
      </c>
      <c r="C50" s="320">
        <f>+IF(C49="yes",1+ROUNDUP(C47/C48,0),ROUNDUP(C47/C48,0))</f>
        <v>2</v>
      </c>
      <c r="D50" s="35"/>
      <c r="E50" s="1"/>
      <c r="F50" s="1"/>
      <c r="G50" s="1"/>
      <c r="H50" s="1"/>
      <c r="I50" s="1"/>
    </row>
    <row r="51" spans="1:9" x14ac:dyDescent="0.2">
      <c r="B51" s="314" t="s">
        <v>207</v>
      </c>
      <c r="C51" s="317">
        <f>+C47/C50</f>
        <v>0.77500000000000002</v>
      </c>
      <c r="D51" s="35"/>
      <c r="E51" s="1"/>
      <c r="F51" s="1"/>
      <c r="G51" s="1"/>
      <c r="H51" s="1"/>
      <c r="I51" s="1"/>
    </row>
    <row r="52" spans="1:9" x14ac:dyDescent="0.2">
      <c r="A52" s="1"/>
      <c r="B52" s="575" t="s">
        <v>61</v>
      </c>
      <c r="C52" s="575"/>
      <c r="D52" s="35"/>
      <c r="E52" s="1"/>
      <c r="F52" s="1"/>
      <c r="G52" s="1"/>
      <c r="H52" s="1"/>
      <c r="I52" s="1"/>
    </row>
    <row r="53" spans="1:9" x14ac:dyDescent="0.2">
      <c r="B53" s="326" t="s">
        <v>64</v>
      </c>
      <c r="C53" s="327">
        <f>+'07 Diet requirements'!C11</f>
        <v>23.017500000000002</v>
      </c>
      <c r="D53" s="35"/>
      <c r="E53" s="1"/>
      <c r="F53" s="1"/>
      <c r="G53" s="1"/>
      <c r="H53" s="1"/>
      <c r="I53" s="1"/>
    </row>
    <row r="54" spans="1:9" x14ac:dyDescent="0.2">
      <c r="B54" s="325" t="s">
        <v>65</v>
      </c>
      <c r="C54" s="463">
        <v>40</v>
      </c>
      <c r="D54" s="35"/>
      <c r="E54" s="1"/>
      <c r="F54" s="1"/>
      <c r="G54" s="1"/>
      <c r="H54" s="1"/>
      <c r="I54" s="1"/>
    </row>
    <row r="55" spans="1:9" x14ac:dyDescent="0.2">
      <c r="B55" s="314" t="s">
        <v>160</v>
      </c>
      <c r="C55" s="328">
        <f>+ROUNDUP(C53/C54,0)</f>
        <v>1</v>
      </c>
      <c r="D55" s="35"/>
      <c r="E55" s="1"/>
      <c r="F55" s="1"/>
      <c r="G55" s="1"/>
      <c r="H55" s="1"/>
      <c r="I55" s="1"/>
    </row>
    <row r="56" spans="1:9" x14ac:dyDescent="0.2">
      <c r="B56" s="325" t="s">
        <v>66</v>
      </c>
      <c r="C56" s="315">
        <v>0.25</v>
      </c>
      <c r="D56" s="35"/>
      <c r="E56" s="1"/>
      <c r="F56" s="1"/>
      <c r="G56" s="1"/>
      <c r="H56" s="1"/>
      <c r="I56" s="1"/>
    </row>
    <row r="57" spans="1:9" x14ac:dyDescent="0.2">
      <c r="B57" s="314" t="s">
        <v>35</v>
      </c>
      <c r="C57" s="317">
        <f>+C55*C56</f>
        <v>0.25</v>
      </c>
      <c r="D57" s="35"/>
      <c r="E57" s="1"/>
      <c r="F57" s="1"/>
      <c r="G57" s="1"/>
      <c r="H57" s="1"/>
      <c r="I57" s="1"/>
    </row>
    <row r="58" spans="1:9" x14ac:dyDescent="0.2">
      <c r="B58" s="314" t="s">
        <v>208</v>
      </c>
      <c r="C58" s="461">
        <v>3</v>
      </c>
      <c r="D58" s="35"/>
      <c r="E58" s="1"/>
      <c r="F58" s="1"/>
      <c r="G58" s="1"/>
      <c r="H58" s="1"/>
      <c r="I58" s="1"/>
    </row>
    <row r="59" spans="1:9" x14ac:dyDescent="0.2">
      <c r="B59" s="318" t="s">
        <v>261</v>
      </c>
      <c r="C59" s="319" t="s">
        <v>263</v>
      </c>
      <c r="D59" s="35"/>
      <c r="E59" s="1"/>
      <c r="F59" s="1"/>
      <c r="G59" s="1"/>
      <c r="H59" s="1"/>
      <c r="I59" s="1"/>
    </row>
    <row r="60" spans="1:9" x14ac:dyDescent="0.2">
      <c r="B60" s="314" t="s">
        <v>206</v>
      </c>
      <c r="C60" s="320">
        <f>+IF(C59="yes",1+ROUNDUP(C57/C58,0),ROUNDUP(C57/C58,0))</f>
        <v>1</v>
      </c>
      <c r="D60" s="35"/>
      <c r="E60" s="1"/>
      <c r="F60" s="1"/>
      <c r="G60" s="1"/>
      <c r="H60" s="1"/>
      <c r="I60" s="1"/>
    </row>
    <row r="61" spans="1:9" x14ac:dyDescent="0.2">
      <c r="B61" s="314" t="s">
        <v>207</v>
      </c>
      <c r="C61" s="317">
        <f>+C57/C60</f>
        <v>0.25</v>
      </c>
      <c r="D61" s="35"/>
      <c r="E61" s="1"/>
      <c r="F61" s="1"/>
      <c r="G61" s="1"/>
      <c r="H61" s="1"/>
      <c r="I61" s="1"/>
    </row>
    <row r="62" spans="1:9" x14ac:dyDescent="0.2">
      <c r="A62" s="1"/>
      <c r="B62" s="575" t="s">
        <v>62</v>
      </c>
      <c r="C62" s="575"/>
      <c r="D62" s="35"/>
      <c r="E62" s="1"/>
      <c r="F62" s="1"/>
      <c r="G62" s="1"/>
      <c r="H62" s="1"/>
      <c r="I62" s="1"/>
    </row>
    <row r="63" spans="1:9" x14ac:dyDescent="0.2">
      <c r="B63" s="326" t="s">
        <v>64</v>
      </c>
      <c r="C63" s="327">
        <f>+'07 Diet requirements'!C17</f>
        <v>14.688000000000001</v>
      </c>
      <c r="D63" s="35"/>
      <c r="E63" s="1"/>
      <c r="F63" s="1"/>
      <c r="G63" s="1"/>
      <c r="H63" s="1"/>
      <c r="I63" s="1"/>
    </row>
    <row r="64" spans="1:9" x14ac:dyDescent="0.2">
      <c r="B64" s="325" t="s">
        <v>65</v>
      </c>
      <c r="C64" s="463">
        <v>20</v>
      </c>
      <c r="D64" s="35"/>
      <c r="E64" s="1"/>
      <c r="F64" s="1"/>
      <c r="G64" s="1"/>
      <c r="H64" s="1"/>
      <c r="I64" s="1"/>
    </row>
    <row r="65" spans="1:9" x14ac:dyDescent="0.2">
      <c r="B65" s="314" t="s">
        <v>160</v>
      </c>
      <c r="C65" s="328">
        <f>+ROUNDUP(C63/C64,0)</f>
        <v>1</v>
      </c>
      <c r="D65" s="35"/>
      <c r="E65" s="1"/>
      <c r="F65" s="1"/>
      <c r="G65" s="1"/>
      <c r="H65" s="1"/>
      <c r="I65" s="1"/>
    </row>
    <row r="66" spans="1:9" x14ac:dyDescent="0.2">
      <c r="B66" s="325" t="s">
        <v>66</v>
      </c>
      <c r="C66" s="315">
        <v>0.25</v>
      </c>
      <c r="D66" s="35"/>
      <c r="E66" s="1"/>
      <c r="F66" s="1"/>
      <c r="G66" s="1"/>
      <c r="H66" s="1"/>
      <c r="I66" s="1"/>
    </row>
    <row r="67" spans="1:9" x14ac:dyDescent="0.2">
      <c r="B67" s="314" t="s">
        <v>35</v>
      </c>
      <c r="C67" s="317">
        <f>+C65*C66</f>
        <v>0.25</v>
      </c>
      <c r="D67" s="35"/>
      <c r="E67" s="1"/>
      <c r="F67" s="1"/>
      <c r="G67" s="1"/>
      <c r="H67" s="1"/>
      <c r="I67" s="1"/>
    </row>
    <row r="68" spans="1:9" x14ac:dyDescent="0.2">
      <c r="B68" s="314" t="s">
        <v>208</v>
      </c>
      <c r="C68" s="461">
        <v>3</v>
      </c>
      <c r="D68" s="35"/>
      <c r="E68" s="1"/>
      <c r="F68" s="1"/>
      <c r="G68" s="1"/>
      <c r="H68" s="1"/>
      <c r="I68" s="1"/>
    </row>
    <row r="69" spans="1:9" x14ac:dyDescent="0.2">
      <c r="B69" s="318" t="s">
        <v>261</v>
      </c>
      <c r="C69" s="319" t="s">
        <v>263</v>
      </c>
      <c r="D69" s="35"/>
      <c r="E69" s="1"/>
      <c r="F69" s="1"/>
      <c r="G69" s="1"/>
      <c r="H69" s="1"/>
      <c r="I69" s="1"/>
    </row>
    <row r="70" spans="1:9" x14ac:dyDescent="0.2">
      <c r="B70" s="314" t="s">
        <v>206</v>
      </c>
      <c r="C70" s="320">
        <f>+IF(C69="yes",1+ROUNDUP(C67/C68,0),ROUNDUP(C67/C68,0))</f>
        <v>1</v>
      </c>
      <c r="D70" s="35"/>
      <c r="E70" s="1"/>
      <c r="F70" s="1"/>
      <c r="G70" s="1"/>
      <c r="H70" s="1"/>
      <c r="I70" s="1"/>
    </row>
    <row r="71" spans="1:9" x14ac:dyDescent="0.2">
      <c r="B71" s="314" t="s">
        <v>207</v>
      </c>
      <c r="C71" s="317">
        <f>+C67/C70</f>
        <v>0.25</v>
      </c>
      <c r="D71" s="35"/>
      <c r="E71" s="1"/>
      <c r="F71" s="1"/>
      <c r="G71" s="1"/>
      <c r="H71" s="1"/>
      <c r="I71" s="1"/>
    </row>
    <row r="72" spans="1:9" x14ac:dyDescent="0.2">
      <c r="A72" s="1"/>
      <c r="B72" s="575" t="s">
        <v>204</v>
      </c>
      <c r="C72" s="575"/>
      <c r="D72" s="35"/>
      <c r="E72" s="1"/>
      <c r="F72" s="1"/>
      <c r="G72" s="1"/>
      <c r="H72" s="1"/>
      <c r="I72" s="1"/>
    </row>
    <row r="73" spans="1:9" x14ac:dyDescent="0.2">
      <c r="B73" s="323" t="s">
        <v>205</v>
      </c>
      <c r="C73" s="324">
        <f>+Number_of_MO_larval_trays_to_be_loaded_with_L1_per_day*COUNTIF('06 Diet formulation'!C15:C20,"&gt;0")+'05 Mass rearing Facility'!C10+'05 Mass rearing Facility'!C11</f>
        <v>186</v>
      </c>
      <c r="D73" s="35"/>
      <c r="E73" s="1"/>
      <c r="F73" s="1"/>
      <c r="G73" s="1"/>
      <c r="H73" s="1"/>
      <c r="I73" s="1"/>
    </row>
    <row r="74" spans="1:9" x14ac:dyDescent="0.2">
      <c r="B74" s="325" t="s">
        <v>65</v>
      </c>
      <c r="C74" s="462">
        <v>45</v>
      </c>
      <c r="D74" s="35"/>
      <c r="E74" s="1"/>
      <c r="F74" s="1"/>
      <c r="G74" s="1"/>
      <c r="H74" s="1"/>
      <c r="I74" s="1"/>
    </row>
    <row r="75" spans="1:9" x14ac:dyDescent="0.2">
      <c r="B75" s="314" t="s">
        <v>35</v>
      </c>
      <c r="C75" s="317">
        <f>+C73/C74</f>
        <v>4.1333333333333337</v>
      </c>
      <c r="D75" s="35"/>
      <c r="E75" s="1"/>
      <c r="F75" s="1"/>
      <c r="G75" s="1"/>
      <c r="H75" s="1"/>
      <c r="I75" s="1"/>
    </row>
    <row r="76" spans="1:9" x14ac:dyDescent="0.2">
      <c r="B76" s="314" t="s">
        <v>208</v>
      </c>
      <c r="C76" s="461">
        <v>4</v>
      </c>
      <c r="D76" s="35"/>
      <c r="E76" s="1"/>
      <c r="F76" s="1"/>
      <c r="G76" s="1"/>
      <c r="H76" s="1"/>
      <c r="I76" s="1"/>
    </row>
    <row r="77" spans="1:9" x14ac:dyDescent="0.2">
      <c r="B77" s="318" t="s">
        <v>261</v>
      </c>
      <c r="C77" s="319" t="s">
        <v>262</v>
      </c>
      <c r="D77" s="35"/>
      <c r="E77" s="1"/>
      <c r="F77" s="1"/>
      <c r="G77" s="1"/>
      <c r="H77" s="1"/>
      <c r="I77" s="1"/>
    </row>
    <row r="78" spans="1:9" x14ac:dyDescent="0.2">
      <c r="B78" s="314" t="s">
        <v>206</v>
      </c>
      <c r="C78" s="320">
        <f>+IF(C77="yes",1+ROUNDUP(C75/C76,0), ROUNDUP(C75/C76,0))</f>
        <v>3</v>
      </c>
      <c r="D78" s="35"/>
      <c r="E78" s="1"/>
      <c r="F78" s="1"/>
      <c r="G78" s="1"/>
      <c r="H78" s="1"/>
      <c r="I78" s="1"/>
    </row>
    <row r="79" spans="1:9" x14ac:dyDescent="0.2">
      <c r="B79" s="314" t="s">
        <v>207</v>
      </c>
      <c r="C79" s="317">
        <f>+C75/C78</f>
        <v>1.377777777777778</v>
      </c>
      <c r="D79" s="35"/>
      <c r="E79" s="1"/>
      <c r="F79" s="1"/>
      <c r="G79" s="1"/>
      <c r="H79" s="1"/>
      <c r="I79" s="1"/>
    </row>
    <row r="80" spans="1:9" x14ac:dyDescent="0.2">
      <c r="A80" s="1"/>
      <c r="B80" s="575" t="s">
        <v>95</v>
      </c>
      <c r="C80" s="575"/>
      <c r="D80" s="35"/>
      <c r="E80" s="1"/>
      <c r="F80" s="1"/>
      <c r="G80" s="1"/>
      <c r="H80" s="1"/>
      <c r="I80" s="1"/>
    </row>
    <row r="81" spans="1:9" x14ac:dyDescent="0.2">
      <c r="B81" s="323" t="s">
        <v>183</v>
      </c>
      <c r="C81" s="329">
        <f>+(Oviposition_cages_permanently_in_use_for_MO_egg_production+Pre_oviposition_cages_permanently_in_use_for_MO_egg_production*(Pre_oviposition_period-3)/Pre_oviposition_period)/frequency_of_blood_feeding</f>
        <v>9.5</v>
      </c>
      <c r="D81" s="35"/>
      <c r="E81" s="1"/>
      <c r="F81" s="1"/>
      <c r="G81" s="1"/>
      <c r="H81" s="1"/>
      <c r="I81" s="1"/>
    </row>
    <row r="82" spans="1:9" x14ac:dyDescent="0.2">
      <c r="B82" s="325" t="s">
        <v>65</v>
      </c>
      <c r="C82" s="330">
        <v>2</v>
      </c>
      <c r="D82" s="35"/>
      <c r="E82" s="1"/>
      <c r="F82" s="1"/>
      <c r="G82" s="1"/>
      <c r="H82" s="1"/>
      <c r="I82" s="1"/>
    </row>
    <row r="83" spans="1:9" x14ac:dyDescent="0.2">
      <c r="B83" s="314" t="s">
        <v>35</v>
      </c>
      <c r="C83" s="317">
        <f>+C81/C82</f>
        <v>4.75</v>
      </c>
      <c r="D83" s="35"/>
      <c r="E83" s="1"/>
      <c r="F83" s="1"/>
      <c r="G83" s="1"/>
      <c r="H83" s="1"/>
      <c r="I83" s="1"/>
    </row>
    <row r="84" spans="1:9" x14ac:dyDescent="0.2">
      <c r="B84" s="314" t="s">
        <v>208</v>
      </c>
      <c r="C84" s="461">
        <v>6</v>
      </c>
      <c r="D84" s="35"/>
      <c r="E84" s="1"/>
      <c r="F84" s="1"/>
      <c r="G84" s="1"/>
      <c r="H84" s="1"/>
      <c r="I84" s="1"/>
    </row>
    <row r="85" spans="1:9" x14ac:dyDescent="0.2">
      <c r="B85" s="318" t="s">
        <v>261</v>
      </c>
      <c r="C85" s="319" t="s">
        <v>262</v>
      </c>
      <c r="D85" s="35"/>
      <c r="E85" s="1"/>
      <c r="F85" s="1"/>
      <c r="G85" s="1"/>
      <c r="H85" s="1"/>
      <c r="I85" s="1"/>
    </row>
    <row r="86" spans="1:9" x14ac:dyDescent="0.2">
      <c r="B86" s="314" t="s">
        <v>206</v>
      </c>
      <c r="C86" s="320">
        <f>+IF(C85="yes",1+ROUNDUP(C83/C84,0),ROUNDUP(C83/C84,0))</f>
        <v>2</v>
      </c>
      <c r="D86" s="35"/>
      <c r="E86" s="1"/>
      <c r="F86" s="1"/>
      <c r="G86" s="1"/>
      <c r="H86" s="1"/>
      <c r="I86" s="1"/>
    </row>
    <row r="87" spans="1:9" x14ac:dyDescent="0.2">
      <c r="B87" s="314" t="s">
        <v>207</v>
      </c>
      <c r="C87" s="317">
        <f>+C83/C86</f>
        <v>2.375</v>
      </c>
      <c r="D87" s="35"/>
      <c r="E87" s="1"/>
      <c r="F87" s="1"/>
      <c r="G87" s="1"/>
      <c r="H87" s="1"/>
      <c r="I87" s="1"/>
    </row>
    <row r="88" spans="1:9" x14ac:dyDescent="0.2">
      <c r="A88" s="1"/>
      <c r="B88" s="575" t="s">
        <v>181</v>
      </c>
      <c r="C88" s="575"/>
      <c r="D88" s="35"/>
      <c r="E88" s="1"/>
      <c r="F88" s="1"/>
      <c r="G88" s="1"/>
      <c r="H88" s="1"/>
      <c r="I88" s="1"/>
    </row>
    <row r="89" spans="1:9" x14ac:dyDescent="0.2">
      <c r="B89" s="326" t="s">
        <v>50</v>
      </c>
      <c r="C89" s="324">
        <f>+Number_of_MO_larval_trays_to_be_loaded_with_L1_per_day+'05 Mass rearing Facility'!C10+'05 Mass rearing Facility'!C11</f>
        <v>31</v>
      </c>
      <c r="D89" s="35"/>
      <c r="E89" s="1"/>
      <c r="F89" s="1"/>
      <c r="G89" s="1"/>
      <c r="H89" s="1"/>
      <c r="I89" s="1"/>
    </row>
    <row r="90" spans="1:9" x14ac:dyDescent="0.2">
      <c r="B90" s="325" t="s">
        <v>65</v>
      </c>
      <c r="C90" s="462">
        <v>200</v>
      </c>
      <c r="D90" s="35"/>
      <c r="E90" s="1"/>
      <c r="F90" s="1"/>
      <c r="G90" s="1"/>
      <c r="H90" s="1"/>
      <c r="I90" s="1"/>
    </row>
    <row r="91" spans="1:9" x14ac:dyDescent="0.2">
      <c r="B91" s="314" t="s">
        <v>35</v>
      </c>
      <c r="C91" s="317">
        <f>+C89/C90</f>
        <v>0.155</v>
      </c>
      <c r="D91" s="35"/>
      <c r="E91" s="1"/>
      <c r="F91" s="1"/>
      <c r="G91" s="1"/>
      <c r="H91" s="1"/>
      <c r="I91" s="1"/>
    </row>
    <row r="92" spans="1:9" x14ac:dyDescent="0.2">
      <c r="B92" s="314" t="s">
        <v>208</v>
      </c>
      <c r="C92" s="461">
        <v>6</v>
      </c>
      <c r="D92" s="35"/>
      <c r="E92" s="1"/>
      <c r="F92" s="1"/>
      <c r="G92" s="1"/>
      <c r="H92" s="1"/>
      <c r="I92" s="1"/>
    </row>
    <row r="93" spans="1:9" x14ac:dyDescent="0.2">
      <c r="B93" s="318" t="s">
        <v>261</v>
      </c>
      <c r="C93" s="319" t="s">
        <v>263</v>
      </c>
      <c r="D93" s="35"/>
      <c r="E93" s="1"/>
      <c r="F93" s="1"/>
      <c r="G93" s="1"/>
      <c r="H93" s="1"/>
      <c r="I93" s="1"/>
    </row>
    <row r="94" spans="1:9" x14ac:dyDescent="0.2">
      <c r="B94" s="314" t="s">
        <v>206</v>
      </c>
      <c r="C94" s="320">
        <f>+IF(C93="yes",1+ROUNDUP(C91/C92,0), ROUNDUP(C91/C92,0))</f>
        <v>1</v>
      </c>
      <c r="D94" s="35"/>
      <c r="E94" s="1"/>
      <c r="F94" s="1"/>
      <c r="G94" s="1"/>
      <c r="H94" s="1"/>
      <c r="I94" s="1"/>
    </row>
    <row r="95" spans="1:9" x14ac:dyDescent="0.2">
      <c r="B95" s="314" t="s">
        <v>207</v>
      </c>
      <c r="C95" s="317">
        <f>+C91/C94</f>
        <v>0.155</v>
      </c>
      <c r="D95" s="35"/>
      <c r="E95" s="1"/>
      <c r="F95" s="1"/>
      <c r="G95" s="1"/>
      <c r="H95" s="1"/>
      <c r="I95" s="1"/>
    </row>
    <row r="96" spans="1:9" x14ac:dyDescent="0.2">
      <c r="A96" s="1"/>
      <c r="B96" s="575" t="s">
        <v>180</v>
      </c>
      <c r="C96" s="575"/>
      <c r="D96" s="35"/>
      <c r="E96" s="1"/>
      <c r="F96" s="1"/>
      <c r="G96" s="1"/>
      <c r="H96" s="1"/>
      <c r="I96" s="1"/>
    </row>
    <row r="97" spans="1:9" x14ac:dyDescent="0.2">
      <c r="B97" s="323" t="s">
        <v>179</v>
      </c>
      <c r="C97" s="329">
        <f>+Cage_units_to_be_loaded_per_day_to_produce_the_eggs_for_stockpiling/'03 Pro Par'!I49</f>
        <v>1</v>
      </c>
      <c r="D97" s="35"/>
      <c r="E97" s="1"/>
      <c r="F97" s="1"/>
      <c r="G97" s="1"/>
      <c r="H97" s="1"/>
      <c r="I97" s="1"/>
    </row>
    <row r="98" spans="1:9" x14ac:dyDescent="0.2">
      <c r="B98" s="325" t="s">
        <v>65</v>
      </c>
      <c r="C98" s="330">
        <v>5</v>
      </c>
      <c r="D98" s="35"/>
      <c r="E98" s="1"/>
      <c r="F98" s="1"/>
      <c r="G98" s="1"/>
      <c r="H98" s="1"/>
      <c r="I98" s="1"/>
    </row>
    <row r="99" spans="1:9" x14ac:dyDescent="0.2">
      <c r="B99" s="314" t="s">
        <v>35</v>
      </c>
      <c r="C99" s="317">
        <f>+C97/C98</f>
        <v>0.2</v>
      </c>
      <c r="D99" s="35"/>
      <c r="E99" s="1"/>
      <c r="F99" s="1"/>
      <c r="G99" s="1"/>
      <c r="H99" s="1"/>
      <c r="I99" s="1"/>
    </row>
    <row r="100" spans="1:9" x14ac:dyDescent="0.2">
      <c r="B100" s="314" t="s">
        <v>208</v>
      </c>
      <c r="C100" s="461">
        <v>6</v>
      </c>
      <c r="D100" s="35"/>
      <c r="E100" s="1"/>
      <c r="F100" s="1"/>
      <c r="G100" s="1"/>
      <c r="H100" s="1"/>
      <c r="I100" s="1"/>
    </row>
    <row r="101" spans="1:9" x14ac:dyDescent="0.2">
      <c r="B101" s="318" t="s">
        <v>261</v>
      </c>
      <c r="C101" s="319" t="s">
        <v>263</v>
      </c>
      <c r="D101" s="35"/>
      <c r="E101" s="1"/>
      <c r="F101" s="1"/>
      <c r="G101" s="1"/>
      <c r="H101" s="1"/>
      <c r="I101" s="1"/>
    </row>
    <row r="102" spans="1:9" x14ac:dyDescent="0.2">
      <c r="B102" s="314" t="s">
        <v>206</v>
      </c>
      <c r="C102" s="320">
        <f>+IF(C101="yes",1+ROUNDUP(C99/C100,0),+ROUNDUP(C99/C100,0))</f>
        <v>1</v>
      </c>
      <c r="D102" s="35"/>
      <c r="E102" s="1"/>
      <c r="F102" s="1"/>
      <c r="G102" s="1"/>
      <c r="H102" s="1"/>
      <c r="I102" s="1"/>
    </row>
    <row r="103" spans="1:9" x14ac:dyDescent="0.2">
      <c r="B103" s="314" t="s">
        <v>207</v>
      </c>
      <c r="C103" s="317">
        <f>+C99/C102</f>
        <v>0.2</v>
      </c>
      <c r="D103" s="35"/>
      <c r="E103" s="1"/>
      <c r="F103" s="1"/>
      <c r="G103" s="1"/>
      <c r="H103" s="1"/>
      <c r="I103" s="1"/>
    </row>
    <row r="104" spans="1:9" x14ac:dyDescent="0.2">
      <c r="A104" s="1"/>
      <c r="B104" s="575" t="s">
        <v>182</v>
      </c>
      <c r="C104" s="575"/>
      <c r="D104" s="35"/>
      <c r="E104" s="1"/>
      <c r="F104" s="1"/>
      <c r="G104" s="1"/>
      <c r="H104" s="1"/>
      <c r="I104" s="1"/>
    </row>
    <row r="105" spans="1:9" x14ac:dyDescent="0.2">
      <c r="B105" s="323" t="s">
        <v>179</v>
      </c>
      <c r="C105" s="329">
        <f>+MO_cages_loaded_per_day/'03 Pro Par'!I50</f>
        <v>15</v>
      </c>
      <c r="D105" s="35"/>
      <c r="E105" s="1"/>
      <c r="F105" s="1"/>
      <c r="G105" s="1"/>
      <c r="H105" s="1"/>
      <c r="I105" s="1"/>
    </row>
    <row r="106" spans="1:9" x14ac:dyDescent="0.2">
      <c r="B106" s="325" t="s">
        <v>65</v>
      </c>
      <c r="C106" s="464">
        <v>10</v>
      </c>
      <c r="D106" s="35"/>
      <c r="E106" s="1"/>
      <c r="F106" s="1"/>
      <c r="G106" s="1"/>
      <c r="H106" s="1"/>
      <c r="I106" s="1"/>
    </row>
    <row r="107" spans="1:9" x14ac:dyDescent="0.2">
      <c r="B107" s="314" t="s">
        <v>35</v>
      </c>
      <c r="C107" s="317">
        <f>+C105/C106</f>
        <v>1.5</v>
      </c>
      <c r="D107" s="35"/>
      <c r="E107" s="1"/>
      <c r="F107" s="1"/>
      <c r="G107" s="1"/>
      <c r="H107" s="1"/>
      <c r="I107" s="1"/>
    </row>
    <row r="108" spans="1:9" x14ac:dyDescent="0.2">
      <c r="B108" s="314" t="s">
        <v>208</v>
      </c>
      <c r="C108" s="461">
        <v>6</v>
      </c>
      <c r="D108" s="35"/>
      <c r="E108" s="1"/>
      <c r="F108" s="1"/>
      <c r="G108" s="1"/>
      <c r="H108" s="1"/>
      <c r="I108" s="1"/>
    </row>
    <row r="109" spans="1:9" x14ac:dyDescent="0.2">
      <c r="B109" s="318" t="s">
        <v>261</v>
      </c>
      <c r="C109" s="319" t="s">
        <v>263</v>
      </c>
      <c r="D109" s="35"/>
      <c r="E109" s="1"/>
      <c r="F109" s="1"/>
      <c r="G109" s="1"/>
      <c r="H109" s="1"/>
      <c r="I109" s="1"/>
    </row>
    <row r="110" spans="1:9" x14ac:dyDescent="0.2">
      <c r="B110" s="314" t="s">
        <v>206</v>
      </c>
      <c r="C110" s="320">
        <f>+IF(C109="yes",1+ROUNDUP(C107/C108,0),ROUNDUP(C107/C108,0))</f>
        <v>1</v>
      </c>
      <c r="D110" s="35"/>
      <c r="E110" s="1"/>
      <c r="F110" s="1"/>
      <c r="G110" s="1"/>
      <c r="H110" s="1"/>
      <c r="I110" s="1"/>
    </row>
    <row r="111" spans="1:9" x14ac:dyDescent="0.2">
      <c r="B111" s="314" t="s">
        <v>207</v>
      </c>
      <c r="C111" s="317">
        <f>+C107/C110</f>
        <v>1.5</v>
      </c>
      <c r="D111" s="35"/>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33"/>
      <c r="F114" s="1"/>
      <c r="G114" s="1"/>
      <c r="H114" s="1"/>
      <c r="I114" s="1"/>
    </row>
    <row r="115" spans="1:9" x14ac:dyDescent="0.2">
      <c r="A115" s="1"/>
      <c r="B115" s="1"/>
      <c r="C115" s="1"/>
      <c r="D115" s="1"/>
      <c r="E115" s="33"/>
      <c r="F115" s="1"/>
      <c r="G115" s="1"/>
      <c r="H115" s="1"/>
      <c r="I115" s="1"/>
    </row>
    <row r="116" spans="1:9" x14ac:dyDescent="0.2">
      <c r="A116" s="1"/>
      <c r="B116" s="36"/>
      <c r="C116" s="37"/>
      <c r="D116" s="37"/>
      <c r="E116" s="33"/>
      <c r="F116" s="1"/>
      <c r="G116" s="1"/>
      <c r="H116" s="1"/>
      <c r="I116" s="1"/>
    </row>
    <row r="117" spans="1:9" x14ac:dyDescent="0.2">
      <c r="A117" s="1"/>
      <c r="B117" s="36"/>
      <c r="C117" s="37"/>
      <c r="D117" s="37"/>
      <c r="E117" s="33"/>
      <c r="F117" s="1"/>
      <c r="G117" s="1"/>
      <c r="H117" s="1"/>
      <c r="I117" s="1"/>
    </row>
    <row r="118" spans="1:9" x14ac:dyDescent="0.2">
      <c r="A118" s="1"/>
      <c r="B118" s="36"/>
      <c r="C118" s="37"/>
      <c r="D118" s="37"/>
      <c r="E118" s="33"/>
      <c r="F118" s="1"/>
      <c r="G118" s="1"/>
      <c r="H118" s="1"/>
      <c r="I118" s="1"/>
    </row>
    <row r="119" spans="1:9" x14ac:dyDescent="0.2">
      <c r="A119" s="1"/>
      <c r="B119" s="36"/>
      <c r="C119" s="37"/>
      <c r="D119" s="37"/>
      <c r="E119" s="1"/>
      <c r="F119" s="1"/>
      <c r="G119" s="1"/>
      <c r="H119" s="1"/>
      <c r="I119" s="1"/>
    </row>
    <row r="120" spans="1:9" x14ac:dyDescent="0.2">
      <c r="A120" s="1"/>
      <c r="B120" s="34"/>
      <c r="C120" s="35"/>
      <c r="D120" s="35"/>
      <c r="E120" s="1"/>
      <c r="F120" s="1"/>
      <c r="G120" s="1"/>
      <c r="H120" s="1"/>
      <c r="I120" s="1"/>
    </row>
    <row r="121" spans="1:9" x14ac:dyDescent="0.2">
      <c r="A121" s="1"/>
      <c r="B121" s="34"/>
      <c r="C121" s="35"/>
      <c r="D121" s="35"/>
      <c r="E121" s="1"/>
      <c r="F121" s="1"/>
      <c r="G121" s="1"/>
      <c r="H121" s="1"/>
      <c r="I121" s="1"/>
    </row>
    <row r="122" spans="1:9" x14ac:dyDescent="0.2">
      <c r="A122" s="1"/>
      <c r="B122" s="34"/>
      <c r="C122" s="35"/>
      <c r="D122" s="35"/>
      <c r="E122" s="33"/>
      <c r="F122" s="1"/>
      <c r="G122" s="1"/>
      <c r="H122" s="1"/>
      <c r="I122" s="1"/>
    </row>
    <row r="123" spans="1:9" x14ac:dyDescent="0.2">
      <c r="A123" s="1"/>
      <c r="B123" s="34"/>
      <c r="C123" s="35"/>
      <c r="D123" s="35"/>
      <c r="E123" s="33"/>
      <c r="F123" s="1"/>
      <c r="G123" s="1"/>
      <c r="H123" s="1"/>
      <c r="I123" s="1"/>
    </row>
    <row r="124" spans="1:9" x14ac:dyDescent="0.2">
      <c r="A124" s="1"/>
      <c r="B124" s="34"/>
      <c r="C124" s="35"/>
      <c r="D124" s="35"/>
      <c r="E124" s="33"/>
      <c r="F124" s="1"/>
      <c r="G124" s="1"/>
      <c r="H124" s="1"/>
      <c r="I124" s="1"/>
    </row>
    <row r="125" spans="1:9" x14ac:dyDescent="0.2">
      <c r="A125" s="1"/>
      <c r="B125" s="34"/>
      <c r="C125" s="35"/>
      <c r="D125" s="35"/>
      <c r="E125" s="33"/>
      <c r="F125" s="1"/>
      <c r="G125" s="1"/>
      <c r="H125" s="1"/>
      <c r="I125" s="1"/>
    </row>
    <row r="126" spans="1:9" x14ac:dyDescent="0.2">
      <c r="A126" s="1"/>
      <c r="B126" s="34"/>
      <c r="C126" s="35"/>
      <c r="D126" s="35"/>
      <c r="E126" s="33"/>
      <c r="F126" s="1"/>
      <c r="G126" s="1"/>
      <c r="H126" s="1"/>
      <c r="I126" s="1"/>
    </row>
    <row r="127" spans="1:9" x14ac:dyDescent="0.2">
      <c r="A127" s="1"/>
      <c r="B127" s="34"/>
      <c r="C127" s="35"/>
      <c r="D127" s="35"/>
      <c r="E127" s="1"/>
      <c r="F127" s="1"/>
      <c r="G127" s="1"/>
      <c r="H127" s="1"/>
      <c r="I127" s="1"/>
    </row>
    <row r="128" spans="1:9" x14ac:dyDescent="0.2">
      <c r="A128" s="1"/>
      <c r="B128" s="34"/>
      <c r="C128" s="35"/>
      <c r="D128" s="35"/>
      <c r="E128" s="1"/>
      <c r="F128" s="1"/>
      <c r="G128" s="1"/>
      <c r="H128" s="1"/>
      <c r="I128" s="1"/>
    </row>
    <row r="129" spans="1:9" x14ac:dyDescent="0.2">
      <c r="A129" s="1"/>
      <c r="B129" s="34"/>
      <c r="C129" s="35"/>
      <c r="D129" s="35"/>
      <c r="E129" s="1"/>
      <c r="F129" s="1"/>
      <c r="G129" s="1"/>
      <c r="H129" s="1"/>
      <c r="I129" s="1"/>
    </row>
    <row r="130" spans="1:9" x14ac:dyDescent="0.2">
      <c r="A130" s="1"/>
      <c r="B130" s="34"/>
      <c r="C130" s="35"/>
      <c r="D130" s="35"/>
      <c r="E130" s="33"/>
      <c r="F130" s="1"/>
      <c r="G130" s="1"/>
      <c r="H130" s="1"/>
      <c r="I130" s="1"/>
    </row>
    <row r="131" spans="1:9" x14ac:dyDescent="0.2">
      <c r="A131" s="1"/>
      <c r="B131" s="34"/>
      <c r="C131" s="35"/>
      <c r="D131" s="35"/>
      <c r="E131" s="33"/>
      <c r="F131" s="1"/>
      <c r="G131" s="1"/>
      <c r="H131" s="1"/>
      <c r="I131" s="1"/>
    </row>
    <row r="132" spans="1:9" x14ac:dyDescent="0.2">
      <c r="A132" s="1"/>
      <c r="B132" s="34"/>
      <c r="C132" s="35"/>
      <c r="D132" s="35"/>
      <c r="E132" s="33"/>
      <c r="F132" s="1"/>
      <c r="G132" s="1"/>
      <c r="H132" s="1"/>
      <c r="I132" s="1"/>
    </row>
    <row r="133" spans="1:9" x14ac:dyDescent="0.2">
      <c r="A133" s="1"/>
      <c r="B133" s="34"/>
      <c r="C133" s="35"/>
      <c r="D133" s="35"/>
      <c r="E133" s="33" t="s">
        <v>3</v>
      </c>
      <c r="F133" s="1"/>
      <c r="G133" s="1"/>
      <c r="H133" s="1"/>
      <c r="I133" s="1"/>
    </row>
    <row r="134" spans="1:9" x14ac:dyDescent="0.2">
      <c r="A134" s="1"/>
      <c r="B134" s="34"/>
      <c r="C134" s="35"/>
      <c r="D134" s="35"/>
      <c r="E134" s="1"/>
      <c r="F134" s="1"/>
      <c r="G134" s="1"/>
      <c r="H134" s="1"/>
      <c r="I134" s="1"/>
    </row>
    <row r="135" spans="1:9" x14ac:dyDescent="0.2">
      <c r="A135" s="1"/>
      <c r="B135" s="34"/>
      <c r="C135" s="35"/>
      <c r="D135" s="35"/>
      <c r="E135" s="1"/>
      <c r="F135" s="1"/>
      <c r="G135" s="1"/>
      <c r="H135" s="1"/>
      <c r="I135" s="1"/>
    </row>
    <row r="136" spans="1:9" x14ac:dyDescent="0.2">
      <c r="A136" s="1"/>
      <c r="B136" s="34"/>
      <c r="C136" s="35"/>
      <c r="D136" s="35"/>
      <c r="E136" s="1"/>
      <c r="F136" s="1"/>
      <c r="G136" s="1"/>
      <c r="H136" s="1"/>
      <c r="I136" s="1"/>
    </row>
    <row r="137" spans="1:9" x14ac:dyDescent="0.2">
      <c r="A137" s="1"/>
      <c r="B137" s="34"/>
      <c r="C137" s="35"/>
      <c r="D137" s="35"/>
      <c r="E137" s="1"/>
      <c r="F137" s="1"/>
      <c r="G137" s="1"/>
      <c r="H137" s="1"/>
      <c r="I137" s="1"/>
    </row>
    <row r="138" spans="1:9" x14ac:dyDescent="0.2">
      <c r="A138" s="1"/>
      <c r="B138" s="34"/>
      <c r="C138" s="35"/>
      <c r="D138" s="35"/>
      <c r="E138" s="1"/>
      <c r="F138" s="1"/>
      <c r="G138" s="1"/>
      <c r="H138" s="1"/>
      <c r="I138" s="1"/>
    </row>
    <row r="139" spans="1:9" x14ac:dyDescent="0.2">
      <c r="A139" s="1"/>
      <c r="B139" s="34"/>
      <c r="C139" s="35"/>
      <c r="D139" s="35"/>
      <c r="E139" s="1"/>
      <c r="F139" s="1"/>
      <c r="G139" s="1"/>
      <c r="H139" s="1"/>
      <c r="I139" s="1"/>
    </row>
    <row r="140" spans="1:9" x14ac:dyDescent="0.2">
      <c r="A140" s="1"/>
      <c r="B140" s="34"/>
      <c r="C140" s="35"/>
      <c r="D140" s="35"/>
      <c r="E140" s="1"/>
      <c r="F140" s="1"/>
      <c r="G140" s="1"/>
      <c r="H140" s="1"/>
      <c r="I140" s="1"/>
    </row>
    <row r="141" spans="1:9" x14ac:dyDescent="0.2">
      <c r="A141" s="1"/>
      <c r="B141" s="34"/>
      <c r="C141" s="35"/>
      <c r="D141" s="35"/>
      <c r="E141" s="1"/>
      <c r="F141" s="1"/>
      <c r="G141" s="1"/>
      <c r="H141" s="1"/>
      <c r="I141" s="1"/>
    </row>
    <row r="142" spans="1:9" x14ac:dyDescent="0.2">
      <c r="A142" s="1"/>
      <c r="B142" s="34"/>
      <c r="C142" s="35"/>
      <c r="D142" s="35"/>
      <c r="E142" s="1"/>
      <c r="F142" s="1"/>
      <c r="G142" s="1"/>
      <c r="H142" s="1"/>
      <c r="I142" s="1"/>
    </row>
    <row r="143" spans="1:9" x14ac:dyDescent="0.2">
      <c r="A143" s="1"/>
      <c r="B143" s="34"/>
      <c r="C143" s="35"/>
      <c r="D143" s="35"/>
      <c r="E143" s="1"/>
      <c r="F143" s="1"/>
      <c r="G143" s="1"/>
      <c r="H143" s="1"/>
      <c r="I143" s="1"/>
    </row>
    <row r="144" spans="1:9" x14ac:dyDescent="0.2">
      <c r="A144" s="1"/>
      <c r="B144" s="34"/>
      <c r="C144" s="35"/>
      <c r="D144" s="35"/>
      <c r="E144" s="1"/>
      <c r="F144" s="1"/>
      <c r="G144" s="1"/>
      <c r="H144" s="1"/>
      <c r="I144" s="1"/>
    </row>
    <row r="145" spans="1:9" x14ac:dyDescent="0.2">
      <c r="A145" s="1"/>
      <c r="B145" s="34"/>
      <c r="C145" s="35"/>
      <c r="D145" s="35"/>
      <c r="E145" s="1"/>
      <c r="F145" s="1"/>
      <c r="G145" s="1"/>
      <c r="H145" s="1"/>
      <c r="I145" s="1"/>
    </row>
    <row r="146" spans="1:9" x14ac:dyDescent="0.2">
      <c r="A146" s="1"/>
      <c r="B146" s="34"/>
      <c r="C146" s="35"/>
      <c r="D146" s="35"/>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sheetData>
  <sheetProtection algorithmName="SHA-512" hashValue="dThLrMOweOtoe0Nj4I0V8l9ZQ6o4Qk0gw3DFiGh3Hn86LpN4klmgxVdyjdEdSzhD39TUa9oDkn+OjHyZj7t4Bg==" saltValue="xFHjuNmg6V7PhsPYyDHsWw==" spinCount="100000" sheet="1" objects="1" scenarios="1"/>
  <mergeCells count="16">
    <mergeCell ref="B104:C104"/>
    <mergeCell ref="B2:C2"/>
    <mergeCell ref="B25:C25"/>
    <mergeCell ref="B35:C35"/>
    <mergeCell ref="B52:C52"/>
    <mergeCell ref="B62:C62"/>
    <mergeCell ref="B80:C80"/>
    <mergeCell ref="B44:C44"/>
    <mergeCell ref="B72:C72"/>
    <mergeCell ref="B88:C88"/>
    <mergeCell ref="B96:C96"/>
    <mergeCell ref="B24:C24"/>
    <mergeCell ref="B4:C4"/>
    <mergeCell ref="B9:C9"/>
    <mergeCell ref="B14:C14"/>
    <mergeCell ref="B19:C19"/>
  </mergeCells>
  <phoneticPr fontId="0" type="noConversion"/>
  <pageMargins left="0.75" right="0.75" top="1" bottom="1"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92D050"/>
  </sheetPr>
  <dimension ref="A1:F23"/>
  <sheetViews>
    <sheetView zoomScaleNormal="100" workbookViewId="0">
      <selection activeCell="C9" sqref="C9"/>
    </sheetView>
  </sheetViews>
  <sheetFormatPr defaultColWidth="11.42578125" defaultRowHeight="12.75" x14ac:dyDescent="0.2"/>
  <cols>
    <col min="1" max="1" width="9.140625" style="67" customWidth="1"/>
    <col min="2" max="2" width="34.140625" style="67" customWidth="1"/>
    <col min="3" max="3" width="13.5703125" style="67" customWidth="1"/>
    <col min="4" max="4" width="15" style="67" customWidth="1"/>
    <col min="5" max="5" width="9.85546875" style="67" customWidth="1"/>
    <col min="6" max="16384" width="11.42578125" style="67"/>
  </cols>
  <sheetData>
    <row r="1" spans="1:6" x14ac:dyDescent="0.2">
      <c r="A1" s="1"/>
      <c r="B1" s="1"/>
      <c r="C1" s="1"/>
      <c r="D1" s="1"/>
      <c r="E1" s="1"/>
      <c r="F1" s="1"/>
    </row>
    <row r="2" spans="1:6" ht="18" x14ac:dyDescent="0.25">
      <c r="A2" s="1"/>
      <c r="B2" s="567" t="s">
        <v>345</v>
      </c>
      <c r="C2" s="567"/>
      <c r="D2" s="567"/>
      <c r="E2" s="567"/>
      <c r="F2" s="1"/>
    </row>
    <row r="3" spans="1:6" ht="15" x14ac:dyDescent="0.2">
      <c r="A3" s="1"/>
      <c r="B3" s="1"/>
      <c r="C3" s="38"/>
      <c r="D3" s="38" t="s">
        <v>3</v>
      </c>
      <c r="E3" s="38"/>
      <c r="F3" s="1"/>
    </row>
    <row r="4" spans="1:6" ht="25.5" x14ac:dyDescent="0.2">
      <c r="A4" s="1"/>
      <c r="B4" s="291" t="s">
        <v>18</v>
      </c>
      <c r="C4" s="291" t="s">
        <v>68</v>
      </c>
      <c r="D4" s="292" t="s">
        <v>14</v>
      </c>
      <c r="E4" s="292" t="s">
        <v>11</v>
      </c>
      <c r="F4" s="1"/>
    </row>
    <row r="5" spans="1:6" x14ac:dyDescent="0.2">
      <c r="A5" s="1"/>
      <c r="B5" s="287" t="s">
        <v>118</v>
      </c>
      <c r="C5" s="288">
        <f>+Pre_oviposition_period+Oviposition_period</f>
        <v>22</v>
      </c>
      <c r="D5" s="293" t="s">
        <v>28</v>
      </c>
      <c r="E5" s="294" t="s">
        <v>32</v>
      </c>
      <c r="F5" s="1"/>
    </row>
    <row r="6" spans="1:6" x14ac:dyDescent="0.2">
      <c r="A6" s="1"/>
      <c r="B6" s="287" t="s">
        <v>15</v>
      </c>
      <c r="C6" s="288">
        <f>+Duration_of_the_larval_cycle__Colony</f>
        <v>8</v>
      </c>
      <c r="D6" s="294" t="s">
        <v>29</v>
      </c>
      <c r="E6" s="294">
        <v>70</v>
      </c>
      <c r="F6" s="1"/>
    </row>
    <row r="7" spans="1:6" x14ac:dyDescent="0.2">
      <c r="A7" s="1"/>
      <c r="B7" s="287" t="s">
        <v>54</v>
      </c>
      <c r="C7" s="288">
        <f>+Duration_of_the_larval_cycle__Colony</f>
        <v>8</v>
      </c>
      <c r="D7" s="294" t="s">
        <v>153</v>
      </c>
      <c r="E7" s="294"/>
      <c r="F7" s="1"/>
    </row>
    <row r="8" spans="1:6" x14ac:dyDescent="0.2">
      <c r="A8" s="1"/>
      <c r="B8" s="287" t="s">
        <v>84</v>
      </c>
      <c r="C8" s="288">
        <f>+'03 Pro Par'!I22</f>
        <v>4</v>
      </c>
      <c r="D8" s="293" t="s">
        <v>28</v>
      </c>
      <c r="E8" s="294" t="s">
        <v>32</v>
      </c>
      <c r="F8" s="1"/>
    </row>
    <row r="9" spans="1:6" x14ac:dyDescent="0.2">
      <c r="A9" s="1"/>
      <c r="B9" s="287" t="s">
        <v>243</v>
      </c>
      <c r="C9" s="288"/>
      <c r="D9" s="295" t="s">
        <v>244</v>
      </c>
      <c r="E9" s="294" t="s">
        <v>32</v>
      </c>
      <c r="F9" s="1"/>
    </row>
    <row r="10" spans="1:6" x14ac:dyDescent="0.2">
      <c r="A10" s="1"/>
      <c r="B10" s="289" t="s">
        <v>20</v>
      </c>
      <c r="C10" s="288"/>
      <c r="D10" s="296" t="s">
        <v>30</v>
      </c>
      <c r="E10" s="297">
        <v>60</v>
      </c>
      <c r="F10" s="1"/>
    </row>
    <row r="11" spans="1:6" ht="15.75" x14ac:dyDescent="0.25">
      <c r="A11" s="39"/>
      <c r="B11" s="289" t="s">
        <v>19</v>
      </c>
      <c r="C11" s="288"/>
      <c r="D11" s="296" t="s">
        <v>24</v>
      </c>
      <c r="E11" s="297">
        <v>60</v>
      </c>
      <c r="F11" s="1"/>
    </row>
    <row r="12" spans="1:6" ht="15.75" x14ac:dyDescent="0.25">
      <c r="A12" s="39"/>
      <c r="B12" s="290" t="s">
        <v>22</v>
      </c>
      <c r="C12" s="288"/>
      <c r="D12" s="296" t="s">
        <v>31</v>
      </c>
      <c r="E12" s="297">
        <v>70</v>
      </c>
      <c r="F12" s="1"/>
    </row>
    <row r="13" spans="1:6" ht="15.75" x14ac:dyDescent="0.25">
      <c r="A13" s="39"/>
      <c r="B13" s="290" t="s">
        <v>16</v>
      </c>
      <c r="C13" s="288"/>
      <c r="D13" s="296" t="s">
        <v>24</v>
      </c>
      <c r="E13" s="297">
        <v>60</v>
      </c>
      <c r="F13" s="1"/>
    </row>
    <row r="14" spans="1:6" ht="15.75" x14ac:dyDescent="0.25">
      <c r="A14" s="39"/>
      <c r="B14" s="290" t="s">
        <v>17</v>
      </c>
      <c r="C14" s="288"/>
      <c r="D14" s="297" t="s">
        <v>30</v>
      </c>
      <c r="E14" s="297">
        <v>60</v>
      </c>
      <c r="F14" s="1"/>
    </row>
    <row r="15" spans="1:6" ht="15.75" x14ac:dyDescent="0.25">
      <c r="A15" s="39"/>
      <c r="F15" s="1"/>
    </row>
    <row r="16" spans="1:6" ht="15.75" x14ac:dyDescent="0.25">
      <c r="A16" s="39"/>
      <c r="B16" s="39"/>
      <c r="C16" s="40" t="s">
        <v>3</v>
      </c>
      <c r="D16" s="39"/>
      <c r="E16" s="39"/>
      <c r="F16" s="1"/>
    </row>
    <row r="17" spans="1:6" ht="15.75" x14ac:dyDescent="0.25">
      <c r="A17" s="39"/>
      <c r="B17" s="39"/>
      <c r="C17" s="40" t="s">
        <v>3</v>
      </c>
      <c r="D17" s="39"/>
      <c r="E17" s="39"/>
      <c r="F17" s="1"/>
    </row>
    <row r="18" spans="1:6" ht="15.75" x14ac:dyDescent="0.25">
      <c r="A18" s="39"/>
      <c r="B18" s="39"/>
      <c r="C18" s="40" t="s">
        <v>3</v>
      </c>
      <c r="D18" s="39"/>
      <c r="E18" s="39"/>
      <c r="F18" s="1"/>
    </row>
    <row r="19" spans="1:6" ht="15.75" x14ac:dyDescent="0.25">
      <c r="A19" s="39"/>
      <c r="B19" s="39"/>
      <c r="C19" s="40" t="s">
        <v>3</v>
      </c>
      <c r="D19" s="39"/>
      <c r="E19" s="39"/>
      <c r="F19" s="1"/>
    </row>
    <row r="20" spans="1:6" ht="15.75" x14ac:dyDescent="0.25">
      <c r="A20" s="39"/>
      <c r="B20" s="39"/>
      <c r="C20" s="40" t="s">
        <v>3</v>
      </c>
      <c r="D20" s="39"/>
      <c r="E20" s="39"/>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sheetData>
  <sheetProtection algorithmName="SHA-512" hashValue="sdtUiECDe+4HGw/QhYfPcl3wcFhO/KIHAeIcJmShenGByUb3iHZKc7ALxB1WXRFTxxQUySF/d6nuYBCzn3iCqA==" saltValue="+tmxjT62psz5wc2qKGSnnQ==" spinCount="100000" sheet="1" objects="1" scenarios="1"/>
  <mergeCells count="1">
    <mergeCell ref="B2:E2"/>
  </mergeCells>
  <phoneticPr fontId="14"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19"/>
  <sheetViews>
    <sheetView zoomScaleNormal="100" workbookViewId="0">
      <selection activeCell="E13" sqref="E13"/>
    </sheetView>
  </sheetViews>
  <sheetFormatPr defaultColWidth="11.42578125" defaultRowHeight="12.75" x14ac:dyDescent="0.2"/>
  <cols>
    <col min="1" max="1" width="9.140625" style="67" customWidth="1"/>
    <col min="2" max="2" width="41.5703125" style="67" customWidth="1"/>
    <col min="3" max="3" width="20.7109375" style="67" customWidth="1"/>
    <col min="4" max="4" width="16.28515625" style="67" customWidth="1"/>
    <col min="5" max="5" width="14.7109375" style="67" customWidth="1"/>
    <col min="6" max="6" width="15.140625" style="67" customWidth="1"/>
    <col min="7" max="16384" width="11.42578125" style="67"/>
  </cols>
  <sheetData>
    <row r="1" spans="1:11" x14ac:dyDescent="0.2">
      <c r="B1" s="1"/>
      <c r="C1" s="1"/>
      <c r="D1" s="1"/>
      <c r="E1" s="1"/>
      <c r="F1" s="1"/>
      <c r="G1" s="1"/>
    </row>
    <row r="2" spans="1:11" ht="18" x14ac:dyDescent="0.25">
      <c r="A2" s="1"/>
      <c r="B2" s="567" t="s">
        <v>245</v>
      </c>
      <c r="C2" s="567"/>
      <c r="D2" s="567"/>
      <c r="E2" s="567"/>
      <c r="F2" s="567"/>
    </row>
    <row r="3" spans="1:11" x14ac:dyDescent="0.2">
      <c r="G3" s="1"/>
    </row>
    <row r="4" spans="1:11" ht="15.75" x14ac:dyDescent="0.25">
      <c r="B4" s="307" t="s">
        <v>267</v>
      </c>
      <c r="C4" s="283"/>
      <c r="D4" s="283"/>
      <c r="E4" s="305" t="s">
        <v>2</v>
      </c>
      <c r="F4" s="306" t="s">
        <v>5</v>
      </c>
      <c r="G4" s="1"/>
    </row>
    <row r="5" spans="1:11" x14ac:dyDescent="0.2">
      <c r="B5" s="281" t="s">
        <v>246</v>
      </c>
      <c r="C5" s="284"/>
      <c r="D5" s="282"/>
      <c r="E5" s="270">
        <f>+(Number_of_MO_larval_trays_to_be_loaded_with_L1_per_day)*volume_of_colony_trays/1000</f>
        <v>186</v>
      </c>
      <c r="F5" s="271">
        <f>+E5*7</f>
        <v>1302</v>
      </c>
    </row>
    <row r="6" spans="1:11" x14ac:dyDescent="0.2">
      <c r="B6" s="281" t="s">
        <v>247</v>
      </c>
      <c r="C6" s="284"/>
      <c r="D6" s="282"/>
      <c r="E6" s="270">
        <f>+'07 Diet requirements'!C11</f>
        <v>23.017500000000002</v>
      </c>
      <c r="F6" s="271">
        <f>+E6*7</f>
        <v>161.1225</v>
      </c>
    </row>
    <row r="7" spans="1:11" x14ac:dyDescent="0.2">
      <c r="B7" s="281" t="s">
        <v>248</v>
      </c>
      <c r="C7" s="284"/>
      <c r="D7" s="282"/>
      <c r="E7" s="272">
        <f>+Total_number_of_cages_permanently_in_use_for_MO_egg_production__Preoviposition_Oviposition/'06 Diet formulation'!C39*Volume_of_water_per_colony_cage</f>
        <v>1.1879999999999999</v>
      </c>
      <c r="F7" s="273">
        <f>+E7*7</f>
        <v>8.3159999999999989</v>
      </c>
      <c r="J7" s="69" t="s">
        <v>268</v>
      </c>
      <c r="K7" s="125">
        <f>+SUM(F5:F8)</f>
        <v>1565.9385</v>
      </c>
    </row>
    <row r="8" spans="1:11" x14ac:dyDescent="0.2">
      <c r="B8" s="281" t="s">
        <v>249</v>
      </c>
      <c r="C8" s="284"/>
      <c r="D8" s="282"/>
      <c r="E8" s="274">
        <f>+MO_cages_loaded_per_day*Volume_of_water_per_MO_cage</f>
        <v>13.5</v>
      </c>
      <c r="F8" s="273">
        <f>+E8*7</f>
        <v>94.5</v>
      </c>
      <c r="J8" s="69" t="s">
        <v>265</v>
      </c>
      <c r="K8" s="125">
        <f>+SUM(F11:F13)</f>
        <v>437.5</v>
      </c>
    </row>
    <row r="9" spans="1:11" x14ac:dyDescent="0.2">
      <c r="J9" s="69" t="s">
        <v>266</v>
      </c>
      <c r="K9" s="125">
        <f>+F16</f>
        <v>801.37540000000013</v>
      </c>
    </row>
    <row r="10" spans="1:11" ht="15.75" x14ac:dyDescent="0.25">
      <c r="B10" s="307" t="s">
        <v>250</v>
      </c>
      <c r="C10" s="283"/>
      <c r="D10" s="283"/>
      <c r="E10" s="305" t="s">
        <v>2</v>
      </c>
      <c r="F10" s="306" t="s">
        <v>5</v>
      </c>
    </row>
    <row r="11" spans="1:11" x14ac:dyDescent="0.2">
      <c r="B11" s="285" t="s">
        <v>251</v>
      </c>
      <c r="C11" s="275">
        <f>+Number_of_MO_larval_trays_to_be_loaded_with_L1_per_day</f>
        <v>31</v>
      </c>
      <c r="D11" s="456">
        <v>0.5</v>
      </c>
      <c r="E11" s="272">
        <f>+D11*C11</f>
        <v>15.5</v>
      </c>
      <c r="F11" s="273">
        <f>+E11*7</f>
        <v>108.5</v>
      </c>
    </row>
    <row r="12" spans="1:11" x14ac:dyDescent="0.2">
      <c r="B12" s="281" t="s">
        <v>252</v>
      </c>
      <c r="C12" s="276">
        <f>+Cage_units_to_be_loaded_per_day_to_produce_the_eggs_for_stockpiling/'03 Pro Par'!I49</f>
        <v>1</v>
      </c>
      <c r="D12" s="457">
        <v>2</v>
      </c>
      <c r="E12" s="272">
        <f>+D12*C12</f>
        <v>2</v>
      </c>
      <c r="F12" s="273">
        <f>+E12*7</f>
        <v>14</v>
      </c>
    </row>
    <row r="13" spans="1:11" x14ac:dyDescent="0.2">
      <c r="B13" s="281" t="s">
        <v>253</v>
      </c>
      <c r="C13" s="277">
        <f>+MO_cages_loaded_per_day/'03 Pro Par'!I50</f>
        <v>15</v>
      </c>
      <c r="D13" s="457">
        <v>3</v>
      </c>
      <c r="E13" s="272">
        <f>+D13*C13</f>
        <v>45</v>
      </c>
      <c r="F13" s="273">
        <f>+E13*7</f>
        <v>315</v>
      </c>
    </row>
    <row r="15" spans="1:11" ht="15.75" x14ac:dyDescent="0.25">
      <c r="B15" s="307" t="s">
        <v>254</v>
      </c>
      <c r="C15" s="283"/>
      <c r="D15" s="283"/>
      <c r="E15" s="305" t="s">
        <v>2</v>
      </c>
      <c r="F15" s="306" t="s">
        <v>5</v>
      </c>
    </row>
    <row r="16" spans="1:11" x14ac:dyDescent="0.2">
      <c r="B16" s="281" t="s">
        <v>255</v>
      </c>
      <c r="C16" s="286"/>
      <c r="D16" s="458">
        <v>0.4</v>
      </c>
      <c r="E16" s="278">
        <f>+SUM(E5:E8,E11:E13)*D16</f>
        <v>114.48220000000002</v>
      </c>
      <c r="F16" s="273">
        <f>+E16*7</f>
        <v>801.37540000000013</v>
      </c>
    </row>
    <row r="18" spans="2:6" ht="15.75" x14ac:dyDescent="0.25">
      <c r="B18" s="308" t="s">
        <v>256</v>
      </c>
      <c r="C18" s="309"/>
      <c r="D18" s="309"/>
      <c r="E18" s="310" t="s">
        <v>2</v>
      </c>
      <c r="F18" s="311" t="s">
        <v>5</v>
      </c>
    </row>
    <row r="19" spans="2:6" x14ac:dyDescent="0.2">
      <c r="E19" s="279">
        <f>+E16+SUM(E5:E8,E11:E13)</f>
        <v>400.68770000000006</v>
      </c>
      <c r="F19" s="280">
        <f>+F16+SUM(F5:F8,F11:F13)</f>
        <v>2804.8139000000001</v>
      </c>
    </row>
  </sheetData>
  <sheetProtection algorithmName="SHA-512" hashValue="SVpMVfy46CLEkwD0ng2PlIE1gcxliXSHp4uRRA/yg/NufcCnHzYQ9pF15CGtH3vPj0mUJk1tOuM/M4ceD+Y+1g==" saltValue="oiV6IVV11UZ2b4jUaDLWxA==" spinCount="100000" sheet="1" objects="1" scenarios="1"/>
  <mergeCells count="1">
    <mergeCell ref="B2:F2"/>
  </mergeCells>
  <pageMargins left="0.75" right="0.75" top="1" bottom="1" header="0.5" footer="0.5"/>
  <pageSetup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rgb="FF92D050"/>
  </sheetPr>
  <dimension ref="A2:M134"/>
  <sheetViews>
    <sheetView zoomScaleNormal="100" workbookViewId="0">
      <selection activeCell="E9" sqref="E9:E10"/>
    </sheetView>
  </sheetViews>
  <sheetFormatPr defaultColWidth="11.42578125" defaultRowHeight="12.75" x14ac:dyDescent="0.2"/>
  <cols>
    <col min="1" max="1" width="4.5703125" style="67" customWidth="1"/>
    <col min="2" max="2" width="10.140625" style="67" customWidth="1"/>
    <col min="3" max="3" width="7.28515625" style="67" customWidth="1"/>
    <col min="4" max="4" width="40.85546875" style="67" customWidth="1"/>
    <col min="5" max="5" width="10.42578125" style="67" bestFit="1" customWidth="1"/>
    <col min="6" max="6" width="14.85546875" style="67" customWidth="1"/>
    <col min="7" max="7" width="15" style="67" customWidth="1"/>
    <col min="8" max="8" width="9.7109375" style="67" bestFit="1" customWidth="1"/>
    <col min="9" max="9" width="12" style="67" customWidth="1"/>
    <col min="10" max="10" width="19.7109375" style="67" customWidth="1"/>
    <col min="11" max="15" width="11.42578125" style="67"/>
    <col min="16" max="16" width="15.28515625" style="67" customWidth="1"/>
    <col min="17" max="16384" width="11.42578125" style="67"/>
  </cols>
  <sheetData>
    <row r="2" spans="1:13" ht="18" x14ac:dyDescent="0.25">
      <c r="A2" s="1"/>
      <c r="B2" s="567" t="s">
        <v>303</v>
      </c>
      <c r="C2" s="567"/>
      <c r="D2" s="567"/>
      <c r="E2" s="567"/>
      <c r="F2" s="567"/>
      <c r="G2" s="567"/>
      <c r="H2" s="567"/>
    </row>
    <row r="3" spans="1:13" ht="12.75" customHeight="1" x14ac:dyDescent="0.2">
      <c r="B3" s="1"/>
      <c r="C3" s="1"/>
      <c r="D3" s="1"/>
      <c r="E3" s="1"/>
      <c r="F3" s="1"/>
    </row>
    <row r="4" spans="1:13" s="167" customFormat="1" ht="39" customHeight="1" x14ac:dyDescent="0.2">
      <c r="A4" s="67"/>
      <c r="B4" s="41"/>
      <c r="C4" s="41"/>
      <c r="D4" s="302" t="s">
        <v>6</v>
      </c>
      <c r="E4" s="303" t="s">
        <v>52</v>
      </c>
      <c r="F4" s="304" t="s">
        <v>342</v>
      </c>
      <c r="G4" s="304" t="s">
        <v>189</v>
      </c>
      <c r="H4" s="304" t="s">
        <v>343</v>
      </c>
      <c r="J4" s="107"/>
    </row>
    <row r="5" spans="1:13" x14ac:dyDescent="0.2">
      <c r="B5" s="583" t="s">
        <v>120</v>
      </c>
      <c r="C5" s="581" t="s">
        <v>15</v>
      </c>
      <c r="D5" s="252" t="s">
        <v>170</v>
      </c>
      <c r="E5" s="253">
        <f>+'09 Rearing Equip.'!C12</f>
        <v>10</v>
      </c>
      <c r="F5" s="254">
        <f>+('03 Pro Par'!G29+20)*('03 Pro Par'!H29+20)/10000</f>
        <v>0.96</v>
      </c>
      <c r="G5" s="255">
        <v>2</v>
      </c>
      <c r="H5" s="256">
        <f>+E5*F5*G5</f>
        <v>19.2</v>
      </c>
      <c r="I5" s="113"/>
      <c r="J5" s="43"/>
    </row>
    <row r="6" spans="1:13" x14ac:dyDescent="0.2">
      <c r="B6" s="583"/>
      <c r="C6" s="581"/>
      <c r="D6" s="252" t="s">
        <v>198</v>
      </c>
      <c r="E6" s="253">
        <f>+number_of_MO_racks_to_hold_the_trays_seeded_with_eggs_everyday</f>
        <v>1</v>
      </c>
      <c r="F6" s="254">
        <f>+F5</f>
        <v>0.96</v>
      </c>
      <c r="G6" s="255">
        <v>2</v>
      </c>
      <c r="H6" s="256">
        <f>+G6*F6*E6</f>
        <v>1.92</v>
      </c>
      <c r="I6" s="113"/>
      <c r="J6" s="43"/>
    </row>
    <row r="7" spans="1:13" x14ac:dyDescent="0.2">
      <c r="B7" s="583"/>
      <c r="C7" s="581"/>
      <c r="D7" s="252" t="s">
        <v>199</v>
      </c>
      <c r="E7" s="253"/>
      <c r="F7" s="257"/>
      <c r="G7" s="258"/>
      <c r="H7" s="259">
        <f>+H5*0.1</f>
        <v>1.92</v>
      </c>
      <c r="I7" s="113"/>
      <c r="J7" s="43"/>
    </row>
    <row r="8" spans="1:13" x14ac:dyDescent="0.2">
      <c r="B8" s="583"/>
      <c r="C8" s="581"/>
      <c r="D8" s="252" t="s">
        <v>200</v>
      </c>
      <c r="E8" s="253"/>
      <c r="F8" s="257"/>
      <c r="G8" s="258"/>
      <c r="H8" s="259">
        <f>+H7</f>
        <v>1.92</v>
      </c>
      <c r="I8" s="113"/>
      <c r="J8" s="43"/>
    </row>
    <row r="9" spans="1:13" ht="12.75" customHeight="1" x14ac:dyDescent="0.2">
      <c r="B9" s="583"/>
      <c r="C9" s="584" t="s">
        <v>67</v>
      </c>
      <c r="D9" s="260" t="s">
        <v>53</v>
      </c>
      <c r="E9" s="261">
        <f>+'09 Rearing Equip.'!C17</f>
        <v>26.4</v>
      </c>
      <c r="F9" s="454">
        <f>+('03 Pro Par'!H39+20)/100*('03 Pro Par'!G39+20)/100/2</f>
        <v>0.22</v>
      </c>
      <c r="G9" s="255">
        <v>2</v>
      </c>
      <c r="H9" s="256">
        <f>+G9*F9*E9</f>
        <v>11.616</v>
      </c>
      <c r="I9" s="113"/>
      <c r="J9" s="43"/>
    </row>
    <row r="10" spans="1:13" ht="12.75" customHeight="1" x14ac:dyDescent="0.2">
      <c r="B10" s="583"/>
      <c r="C10" s="584"/>
      <c r="D10" s="260" t="s">
        <v>201</v>
      </c>
      <c r="E10" s="261">
        <f>+Cage_units_to_be_loaded_per_day_to_produce_the_eggs_for_stockpiling</f>
        <v>1</v>
      </c>
      <c r="F10" s="262">
        <f>+F9</f>
        <v>0.22</v>
      </c>
      <c r="G10" s="255">
        <v>2</v>
      </c>
      <c r="H10" s="256">
        <f>+G10*F10*E10</f>
        <v>0.44</v>
      </c>
      <c r="I10" s="42"/>
    </row>
    <row r="11" spans="1:13" ht="12.75" customHeight="1" x14ac:dyDescent="0.2">
      <c r="B11" s="583"/>
      <c r="C11" s="581" t="s">
        <v>89</v>
      </c>
      <c r="D11" s="260" t="s">
        <v>85</v>
      </c>
      <c r="E11" s="263"/>
      <c r="F11" s="262"/>
      <c r="G11" s="258"/>
      <c r="H11" s="259">
        <v>10</v>
      </c>
      <c r="I11" s="42"/>
      <c r="K11" s="73" t="s">
        <v>171</v>
      </c>
      <c r="L11" s="73" t="s">
        <v>173</v>
      </c>
      <c r="M11" s="108">
        <f>+SUM(H5:H8)</f>
        <v>24.96</v>
      </c>
    </row>
    <row r="12" spans="1:13" ht="12.75" customHeight="1" x14ac:dyDescent="0.2">
      <c r="B12" s="583"/>
      <c r="C12" s="581"/>
      <c r="D12" s="260" t="s">
        <v>36</v>
      </c>
      <c r="E12" s="263"/>
      <c r="F12" s="262"/>
      <c r="G12" s="258"/>
      <c r="H12" s="259">
        <v>15</v>
      </c>
      <c r="I12" s="42"/>
      <c r="K12" s="73"/>
      <c r="L12" s="73" t="s">
        <v>172</v>
      </c>
      <c r="M12" s="108">
        <f>+SUM(H9:H10)</f>
        <v>12.055999999999999</v>
      </c>
    </row>
    <row r="13" spans="1:13" ht="12.75" customHeight="1" x14ac:dyDescent="0.2">
      <c r="B13" s="583"/>
      <c r="C13" s="581"/>
      <c r="D13" s="260" t="s">
        <v>119</v>
      </c>
      <c r="E13" s="263"/>
      <c r="F13" s="262"/>
      <c r="G13" s="258"/>
      <c r="H13" s="259">
        <v>15</v>
      </c>
      <c r="I13" s="42"/>
      <c r="K13" s="73"/>
      <c r="L13" s="73" t="s">
        <v>174</v>
      </c>
      <c r="M13" s="108">
        <f>+SUM(H11:H21)</f>
        <v>209.4016</v>
      </c>
    </row>
    <row r="14" spans="1:13" ht="12.75" customHeight="1" x14ac:dyDescent="0.2">
      <c r="B14" s="583"/>
      <c r="C14" s="581"/>
      <c r="D14" s="260" t="s">
        <v>96</v>
      </c>
      <c r="E14" s="263"/>
      <c r="F14" s="262"/>
      <c r="G14" s="258"/>
      <c r="H14" s="259">
        <v>20</v>
      </c>
      <c r="I14" s="42"/>
      <c r="K14" s="73" t="s">
        <v>175</v>
      </c>
      <c r="L14" s="73" t="s">
        <v>176</v>
      </c>
      <c r="M14" s="108">
        <f>+SUM(H24:H26)</f>
        <v>25.043999999999997</v>
      </c>
    </row>
    <row r="15" spans="1:13" ht="12.75" customHeight="1" x14ac:dyDescent="0.2">
      <c r="B15" s="583"/>
      <c r="C15" s="581"/>
      <c r="D15" s="260" t="s">
        <v>100</v>
      </c>
      <c r="E15" s="263"/>
      <c r="F15" s="262"/>
      <c r="G15" s="258"/>
      <c r="H15" s="259">
        <f>+MAX(15, 10*'09 Rearing Equip.'!C33)</f>
        <v>15</v>
      </c>
      <c r="I15" s="42"/>
      <c r="J15" s="43"/>
      <c r="K15" s="73"/>
      <c r="L15" s="73" t="s">
        <v>174</v>
      </c>
      <c r="M15" s="108">
        <f>+SUM(H27:H33)</f>
        <v>104.8044</v>
      </c>
    </row>
    <row r="16" spans="1:13" ht="12.75" customHeight="1" x14ac:dyDescent="0.2">
      <c r="B16" s="583"/>
      <c r="C16" s="581"/>
      <c r="D16" s="260" t="s">
        <v>338</v>
      </c>
      <c r="E16" s="263"/>
      <c r="F16" s="262"/>
      <c r="G16" s="258"/>
      <c r="H16" s="259">
        <v>20</v>
      </c>
      <c r="I16" s="42"/>
      <c r="J16" s="43"/>
      <c r="K16" s="73"/>
      <c r="L16" s="73"/>
      <c r="M16" s="108"/>
    </row>
    <row r="17" spans="1:10" ht="12.75" customHeight="1" x14ac:dyDescent="0.2">
      <c r="B17" s="583"/>
      <c r="C17" s="581"/>
      <c r="D17" s="260" t="s">
        <v>86</v>
      </c>
      <c r="E17" s="263"/>
      <c r="F17" s="262"/>
      <c r="G17" s="258"/>
      <c r="H17" s="259">
        <v>20</v>
      </c>
      <c r="I17" s="42"/>
      <c r="J17" s="43"/>
    </row>
    <row r="18" spans="1:10" ht="12.75" customHeight="1" x14ac:dyDescent="0.2">
      <c r="B18" s="583"/>
      <c r="C18" s="581"/>
      <c r="D18" s="260" t="s">
        <v>87</v>
      </c>
      <c r="E18" s="264">
        <f>+size_of_store_for_diet_ingredients</f>
        <v>4</v>
      </c>
      <c r="F18" s="262"/>
      <c r="G18" s="255">
        <v>3</v>
      </c>
      <c r="H18" s="256">
        <f>+E18*G18</f>
        <v>12</v>
      </c>
      <c r="I18" s="42"/>
      <c r="J18" s="43"/>
    </row>
    <row r="19" spans="1:10" ht="12.75" customHeight="1" x14ac:dyDescent="0.2">
      <c r="B19" s="583"/>
      <c r="C19" s="581"/>
      <c r="D19" s="260" t="s">
        <v>90</v>
      </c>
      <c r="E19" s="455">
        <v>6</v>
      </c>
      <c r="F19" s="265">
        <v>5</v>
      </c>
      <c r="G19" s="258"/>
      <c r="H19" s="256">
        <f>+IF(E19*F19&gt;15,E19*F19,15)</f>
        <v>30</v>
      </c>
      <c r="I19" s="42"/>
      <c r="J19" s="43"/>
    </row>
    <row r="20" spans="1:10" ht="12.75" customHeight="1" x14ac:dyDescent="0.2">
      <c r="B20" s="583"/>
      <c r="C20" s="581"/>
      <c r="D20" s="260" t="s">
        <v>93</v>
      </c>
      <c r="E20" s="455">
        <v>10</v>
      </c>
      <c r="F20" s="265">
        <v>3</v>
      </c>
      <c r="G20" s="258"/>
      <c r="H20" s="256">
        <f>+F20*E20</f>
        <v>30</v>
      </c>
      <c r="I20" s="42"/>
      <c r="J20" s="43"/>
    </row>
    <row r="21" spans="1:10" ht="12.75" customHeight="1" x14ac:dyDescent="0.2">
      <c r="B21" s="583"/>
      <c r="C21" s="581"/>
      <c r="D21" s="260" t="s">
        <v>88</v>
      </c>
      <c r="E21" s="263"/>
      <c r="F21" s="254"/>
      <c r="G21" s="255">
        <v>0.1</v>
      </c>
      <c r="H21" s="256">
        <f>G21*SUM(H5:H20)</f>
        <v>22.401600000000002</v>
      </c>
      <c r="I21" s="42"/>
      <c r="J21" s="43"/>
    </row>
    <row r="22" spans="1:10" ht="12.75" customHeight="1" x14ac:dyDescent="0.2">
      <c r="B22" s="583"/>
      <c r="C22" s="582" t="s">
        <v>0</v>
      </c>
      <c r="D22" s="582"/>
      <c r="E22" s="582"/>
      <c r="F22" s="582"/>
      <c r="G22" s="582"/>
      <c r="H22" s="269">
        <f>SUM(H5:H21)</f>
        <v>246.41759999999999</v>
      </c>
      <c r="I22" s="42"/>
      <c r="J22" s="43"/>
    </row>
    <row r="23" spans="1:10" ht="12.75" customHeight="1" x14ac:dyDescent="0.2">
      <c r="A23" s="42"/>
      <c r="B23" s="42"/>
      <c r="C23" s="42"/>
      <c r="D23" s="42"/>
      <c r="E23" s="42"/>
      <c r="F23" s="42"/>
      <c r="G23" s="42"/>
      <c r="H23" s="42"/>
      <c r="I23" s="42"/>
      <c r="J23" s="43"/>
    </row>
    <row r="24" spans="1:10" ht="12.75" customHeight="1" x14ac:dyDescent="0.2">
      <c r="B24" s="580" t="s">
        <v>121</v>
      </c>
      <c r="C24" s="580"/>
      <c r="D24" s="252" t="s">
        <v>91</v>
      </c>
      <c r="E24" s="266">
        <f>+'09 Rearing Equip.'!C22</f>
        <v>78</v>
      </c>
      <c r="F24" s="254">
        <f>+'03 Pro Par'!E35*'03 Pro Par'!G35*'03 Pro Par'!H35*1.5/10000/2</f>
        <v>5.3999999999999999E-2</v>
      </c>
      <c r="G24" s="255">
        <v>2</v>
      </c>
      <c r="H24" s="256">
        <f>+G24*F24*E24</f>
        <v>8.4239999999999995</v>
      </c>
      <c r="I24" s="42"/>
      <c r="J24" s="43"/>
    </row>
    <row r="25" spans="1:10" ht="12.75" customHeight="1" x14ac:dyDescent="0.2">
      <c r="B25" s="580"/>
      <c r="C25" s="580"/>
      <c r="D25" s="260" t="s">
        <v>92</v>
      </c>
      <c r="E25" s="266">
        <f>+MO_cages_loaded_per_day</f>
        <v>15</v>
      </c>
      <c r="F25" s="454">
        <f>+F24</f>
        <v>5.3999999999999999E-2</v>
      </c>
      <c r="G25" s="255">
        <v>2</v>
      </c>
      <c r="H25" s="256">
        <f>+G25*F25*E25</f>
        <v>1.6199999999999999</v>
      </c>
      <c r="I25" s="42"/>
      <c r="J25" s="43"/>
    </row>
    <row r="26" spans="1:10" ht="12.75" customHeight="1" x14ac:dyDescent="0.2">
      <c r="B26" s="580"/>
      <c r="C26" s="580"/>
      <c r="D26" s="260" t="s">
        <v>201</v>
      </c>
      <c r="E26" s="267"/>
      <c r="F26" s="262"/>
      <c r="G26" s="258"/>
      <c r="H26" s="259">
        <v>15</v>
      </c>
      <c r="I26" s="42"/>
    </row>
    <row r="27" spans="1:10" ht="12.75" customHeight="1" x14ac:dyDescent="0.2">
      <c r="B27" s="580"/>
      <c r="C27" s="580"/>
      <c r="D27" s="260" t="s">
        <v>96</v>
      </c>
      <c r="E27" s="267"/>
      <c r="F27" s="262"/>
      <c r="G27" s="258"/>
      <c r="H27" s="259">
        <v>20</v>
      </c>
      <c r="I27" s="42"/>
      <c r="J27" s="43"/>
    </row>
    <row r="28" spans="1:10" ht="12.75" customHeight="1" x14ac:dyDescent="0.2">
      <c r="B28" s="580"/>
      <c r="C28" s="580"/>
      <c r="D28" s="260" t="s">
        <v>202</v>
      </c>
      <c r="E28" s="267"/>
      <c r="F28" s="262"/>
      <c r="G28" s="258"/>
      <c r="H28" s="259">
        <v>15</v>
      </c>
      <c r="I28" s="42"/>
      <c r="J28" s="43"/>
    </row>
    <row r="29" spans="1:10" ht="12.75" customHeight="1" x14ac:dyDescent="0.2">
      <c r="B29" s="580"/>
      <c r="C29" s="580"/>
      <c r="D29" s="260" t="s">
        <v>203</v>
      </c>
      <c r="E29" s="267"/>
      <c r="F29" s="262"/>
      <c r="G29" s="258"/>
      <c r="H29" s="259">
        <v>15</v>
      </c>
      <c r="I29" s="42"/>
      <c r="J29" s="43"/>
    </row>
    <row r="30" spans="1:10" ht="12.75" customHeight="1" x14ac:dyDescent="0.2">
      <c r="B30" s="580"/>
      <c r="C30" s="580"/>
      <c r="D30" s="260" t="s">
        <v>86</v>
      </c>
      <c r="E30" s="267"/>
      <c r="F30" s="262"/>
      <c r="G30" s="258"/>
      <c r="H30" s="259">
        <v>10</v>
      </c>
      <c r="I30" s="42"/>
    </row>
    <row r="31" spans="1:10" ht="12.75" customHeight="1" x14ac:dyDescent="0.2">
      <c r="B31" s="580"/>
      <c r="C31" s="580"/>
      <c r="D31" s="260" t="s">
        <v>90</v>
      </c>
      <c r="E31" s="455">
        <v>2</v>
      </c>
      <c r="F31" s="268">
        <f>+F19</f>
        <v>5</v>
      </c>
      <c r="G31" s="258"/>
      <c r="H31" s="256">
        <f>+IF(E31*F31&gt;15,E31*F31,15)</f>
        <v>15</v>
      </c>
      <c r="I31" s="42"/>
      <c r="J31" s="43"/>
    </row>
    <row r="32" spans="1:10" ht="12.75" customHeight="1" x14ac:dyDescent="0.2">
      <c r="B32" s="580"/>
      <c r="C32" s="580"/>
      <c r="D32" s="260" t="s">
        <v>93</v>
      </c>
      <c r="E32" s="455">
        <v>6</v>
      </c>
      <c r="F32" s="268">
        <f>+F20</f>
        <v>3</v>
      </c>
      <c r="G32" s="258"/>
      <c r="H32" s="256">
        <f>+F32*E32</f>
        <v>18</v>
      </c>
      <c r="I32" s="42"/>
      <c r="J32" s="43"/>
    </row>
    <row r="33" spans="1:10" ht="12.75" customHeight="1" x14ac:dyDescent="0.2">
      <c r="B33" s="580"/>
      <c r="C33" s="580"/>
      <c r="D33" s="260" t="s">
        <v>88</v>
      </c>
      <c r="E33" s="267"/>
      <c r="F33" s="262"/>
      <c r="G33" s="255">
        <v>0.1</v>
      </c>
      <c r="H33" s="256">
        <f>G33*SUM(H24:H32)</f>
        <v>11.804400000000001</v>
      </c>
      <c r="I33" s="42"/>
      <c r="J33" s="43"/>
    </row>
    <row r="34" spans="1:10" ht="12.75" customHeight="1" x14ac:dyDescent="0.2">
      <c r="B34" s="580"/>
      <c r="C34" s="580"/>
      <c r="D34" s="582" t="s">
        <v>0</v>
      </c>
      <c r="E34" s="582"/>
      <c r="F34" s="582"/>
      <c r="G34" s="582"/>
      <c r="H34" s="269">
        <f>SUM(H24:H33)</f>
        <v>129.8484</v>
      </c>
      <c r="I34" s="42"/>
    </row>
    <row r="35" spans="1:10" ht="12.75" customHeight="1" x14ac:dyDescent="0.2">
      <c r="A35" s="42"/>
      <c r="B35" s="42"/>
      <c r="C35" s="42"/>
      <c r="D35" s="42"/>
      <c r="E35" s="42"/>
      <c r="F35" s="42"/>
      <c r="G35" s="42"/>
      <c r="H35" s="42"/>
      <c r="I35" s="42"/>
      <c r="J35" s="43"/>
    </row>
    <row r="36" spans="1:10" ht="12.75" customHeight="1" x14ac:dyDescent="0.2">
      <c r="A36" s="42"/>
      <c r="B36" s="42"/>
      <c r="C36" s="44" t="s">
        <v>94</v>
      </c>
      <c r="D36" s="42"/>
      <c r="E36" s="42"/>
      <c r="F36" s="42"/>
      <c r="G36" s="42"/>
      <c r="H36" s="42"/>
      <c r="I36" s="42"/>
      <c r="J36" s="43"/>
    </row>
    <row r="37" spans="1:10" ht="12.75" customHeight="1" x14ac:dyDescent="0.2">
      <c r="A37" s="42"/>
      <c r="B37" s="42"/>
      <c r="C37" s="42"/>
      <c r="D37" s="42"/>
      <c r="E37" s="42"/>
      <c r="F37" s="42"/>
      <c r="G37" s="42"/>
      <c r="H37" s="42"/>
      <c r="I37" s="42"/>
      <c r="J37" s="43"/>
    </row>
    <row r="38" spans="1:10" x14ac:dyDescent="0.2">
      <c r="B38" s="2"/>
      <c r="C38" s="2"/>
      <c r="D38" s="72"/>
      <c r="E38" s="72"/>
      <c r="F38" s="72"/>
      <c r="G38" s="72"/>
      <c r="H38" s="45"/>
    </row>
    <row r="39" spans="1:10" x14ac:dyDescent="0.2">
      <c r="B39" s="1"/>
      <c r="H39" s="46"/>
    </row>
    <row r="40" spans="1:10" x14ac:dyDescent="0.2">
      <c r="B40" s="1"/>
      <c r="C40" s="1"/>
      <c r="H40" s="46"/>
    </row>
    <row r="41" spans="1:10" x14ac:dyDescent="0.2">
      <c r="B41" s="1"/>
      <c r="C41" s="1"/>
      <c r="H41" s="109"/>
    </row>
    <row r="42" spans="1:10" x14ac:dyDescent="0.2">
      <c r="B42" s="1"/>
      <c r="C42" s="1"/>
      <c r="H42" s="109"/>
    </row>
    <row r="43" spans="1:10" x14ac:dyDescent="0.2">
      <c r="B43" s="1"/>
      <c r="C43" s="1"/>
      <c r="H43" s="109"/>
    </row>
    <row r="44" spans="1:10" x14ac:dyDescent="0.2">
      <c r="B44" s="1"/>
      <c r="C44" s="1"/>
      <c r="H44" s="109"/>
    </row>
    <row r="45" spans="1:10" x14ac:dyDescent="0.2">
      <c r="B45" s="1"/>
      <c r="C45" s="1"/>
      <c r="H45" s="109"/>
    </row>
    <row r="46" spans="1:10" x14ac:dyDescent="0.2">
      <c r="B46" s="1"/>
      <c r="C46" s="1"/>
      <c r="H46" s="109"/>
    </row>
    <row r="47" spans="1:10" x14ac:dyDescent="0.2">
      <c r="B47" s="1"/>
      <c r="C47" s="1"/>
      <c r="H47" s="109"/>
    </row>
    <row r="48" spans="1:10" x14ac:dyDescent="0.2">
      <c r="B48" s="1"/>
      <c r="C48" s="1"/>
      <c r="H48" s="109"/>
    </row>
    <row r="49" spans="2:8" x14ac:dyDescent="0.2">
      <c r="B49" s="1"/>
      <c r="C49" s="1"/>
      <c r="H49" s="109"/>
    </row>
    <row r="50" spans="2:8" x14ac:dyDescent="0.2">
      <c r="B50" s="1"/>
      <c r="C50" s="1"/>
      <c r="H50" s="109"/>
    </row>
    <row r="51" spans="2:8" x14ac:dyDescent="0.2">
      <c r="B51" s="1"/>
      <c r="C51" s="1"/>
      <c r="H51" s="109"/>
    </row>
    <row r="52" spans="2:8" x14ac:dyDescent="0.2">
      <c r="B52" s="1"/>
      <c r="C52" s="1"/>
      <c r="H52" s="109"/>
    </row>
    <row r="53" spans="2:8" x14ac:dyDescent="0.2">
      <c r="B53" s="1"/>
      <c r="C53" s="1"/>
      <c r="H53" s="109"/>
    </row>
    <row r="54" spans="2:8" x14ac:dyDescent="0.2">
      <c r="B54" s="1"/>
      <c r="C54" s="1"/>
      <c r="H54" s="109"/>
    </row>
    <row r="55" spans="2:8" x14ac:dyDescent="0.2">
      <c r="B55" s="1"/>
      <c r="C55" s="1"/>
      <c r="H55" s="109"/>
    </row>
    <row r="56" spans="2:8" x14ac:dyDescent="0.2">
      <c r="B56" s="1"/>
      <c r="C56" s="1"/>
      <c r="H56" s="109"/>
    </row>
    <row r="57" spans="2:8" x14ac:dyDescent="0.2">
      <c r="B57" s="1"/>
      <c r="C57" s="1"/>
      <c r="H57" s="109"/>
    </row>
    <row r="58" spans="2:8" x14ac:dyDescent="0.2">
      <c r="B58" s="1"/>
      <c r="C58" s="1"/>
      <c r="H58" s="109"/>
    </row>
    <row r="59" spans="2:8" x14ac:dyDescent="0.2">
      <c r="H59" s="109"/>
    </row>
    <row r="60" spans="2:8" x14ac:dyDescent="0.2">
      <c r="H60" s="109"/>
    </row>
    <row r="61" spans="2:8" x14ac:dyDescent="0.2">
      <c r="H61" s="109"/>
    </row>
    <row r="62" spans="2:8" x14ac:dyDescent="0.2">
      <c r="H62" s="109"/>
    </row>
    <row r="63" spans="2:8" x14ac:dyDescent="0.2">
      <c r="H63" s="109"/>
    </row>
    <row r="64" spans="2:8" x14ac:dyDescent="0.2">
      <c r="H64" s="109"/>
    </row>
    <row r="65" spans="8:8" x14ac:dyDescent="0.2">
      <c r="H65" s="109"/>
    </row>
    <row r="66" spans="8:8" x14ac:dyDescent="0.2">
      <c r="H66" s="109"/>
    </row>
    <row r="67" spans="8:8" x14ac:dyDescent="0.2">
      <c r="H67" s="109"/>
    </row>
    <row r="68" spans="8:8" x14ac:dyDescent="0.2">
      <c r="H68" s="109"/>
    </row>
    <row r="69" spans="8:8" x14ac:dyDescent="0.2">
      <c r="H69" s="109"/>
    </row>
    <row r="70" spans="8:8" x14ac:dyDescent="0.2">
      <c r="H70" s="109"/>
    </row>
    <row r="71" spans="8:8" x14ac:dyDescent="0.2">
      <c r="H71" s="109"/>
    </row>
    <row r="72" spans="8:8" x14ac:dyDescent="0.2">
      <c r="H72" s="109"/>
    </row>
    <row r="73" spans="8:8" x14ac:dyDescent="0.2">
      <c r="H73" s="109"/>
    </row>
    <row r="74" spans="8:8" x14ac:dyDescent="0.2">
      <c r="H74" s="109"/>
    </row>
    <row r="75" spans="8:8" x14ac:dyDescent="0.2">
      <c r="H75" s="109"/>
    </row>
    <row r="76" spans="8:8" x14ac:dyDescent="0.2">
      <c r="H76" s="109"/>
    </row>
    <row r="77" spans="8:8" x14ac:dyDescent="0.2">
      <c r="H77" s="109"/>
    </row>
    <row r="78" spans="8:8" x14ac:dyDescent="0.2">
      <c r="H78" s="109"/>
    </row>
    <row r="79" spans="8:8" x14ac:dyDescent="0.2">
      <c r="H79" s="109"/>
    </row>
    <row r="80" spans="8:8" x14ac:dyDescent="0.2">
      <c r="H80" s="109"/>
    </row>
    <row r="81" spans="8:8" x14ac:dyDescent="0.2">
      <c r="H81" s="109"/>
    </row>
    <row r="82" spans="8:8" x14ac:dyDescent="0.2">
      <c r="H82" s="109"/>
    </row>
    <row r="83" spans="8:8" x14ac:dyDescent="0.2">
      <c r="H83" s="109"/>
    </row>
    <row r="84" spans="8:8" x14ac:dyDescent="0.2">
      <c r="H84" s="109"/>
    </row>
    <row r="85" spans="8:8" x14ac:dyDescent="0.2">
      <c r="H85" s="109"/>
    </row>
    <row r="86" spans="8:8" x14ac:dyDescent="0.2">
      <c r="H86" s="109"/>
    </row>
    <row r="87" spans="8:8" x14ac:dyDescent="0.2">
      <c r="H87" s="109"/>
    </row>
    <row r="88" spans="8:8" x14ac:dyDescent="0.2">
      <c r="H88" s="109"/>
    </row>
    <row r="89" spans="8:8" x14ac:dyDescent="0.2">
      <c r="H89" s="109"/>
    </row>
    <row r="90" spans="8:8" x14ac:dyDescent="0.2">
      <c r="H90" s="109"/>
    </row>
    <row r="91" spans="8:8" x14ac:dyDescent="0.2">
      <c r="H91" s="109"/>
    </row>
    <row r="92" spans="8:8" x14ac:dyDescent="0.2">
      <c r="H92" s="109"/>
    </row>
    <row r="93" spans="8:8" x14ac:dyDescent="0.2">
      <c r="H93" s="109"/>
    </row>
    <row r="94" spans="8:8" x14ac:dyDescent="0.2">
      <c r="H94" s="109"/>
    </row>
    <row r="95" spans="8:8" x14ac:dyDescent="0.2">
      <c r="H95" s="109"/>
    </row>
    <row r="96" spans="8:8" x14ac:dyDescent="0.2">
      <c r="H96" s="109"/>
    </row>
    <row r="97" spans="8:8" x14ac:dyDescent="0.2">
      <c r="H97" s="109"/>
    </row>
    <row r="98" spans="8:8" x14ac:dyDescent="0.2">
      <c r="H98" s="109"/>
    </row>
    <row r="99" spans="8:8" x14ac:dyDescent="0.2">
      <c r="H99" s="109"/>
    </row>
    <row r="100" spans="8:8" x14ac:dyDescent="0.2">
      <c r="H100" s="109"/>
    </row>
    <row r="101" spans="8:8" x14ac:dyDescent="0.2">
      <c r="H101" s="109"/>
    </row>
    <row r="102" spans="8:8" x14ac:dyDescent="0.2">
      <c r="H102" s="109"/>
    </row>
    <row r="103" spans="8:8" x14ac:dyDescent="0.2">
      <c r="H103" s="109"/>
    </row>
    <row r="104" spans="8:8" x14ac:dyDescent="0.2">
      <c r="H104" s="109"/>
    </row>
    <row r="105" spans="8:8" x14ac:dyDescent="0.2">
      <c r="H105" s="109"/>
    </row>
    <row r="106" spans="8:8" x14ac:dyDescent="0.2">
      <c r="H106" s="109"/>
    </row>
    <row r="107" spans="8:8" x14ac:dyDescent="0.2">
      <c r="H107" s="109"/>
    </row>
    <row r="108" spans="8:8" x14ac:dyDescent="0.2">
      <c r="H108" s="109"/>
    </row>
    <row r="109" spans="8:8" x14ac:dyDescent="0.2">
      <c r="H109" s="109"/>
    </row>
    <row r="110" spans="8:8" x14ac:dyDescent="0.2">
      <c r="H110" s="109"/>
    </row>
    <row r="111" spans="8:8" x14ac:dyDescent="0.2">
      <c r="H111" s="109"/>
    </row>
    <row r="112" spans="8:8" x14ac:dyDescent="0.2">
      <c r="H112" s="109"/>
    </row>
    <row r="113" spans="8:8" x14ac:dyDescent="0.2">
      <c r="H113" s="109"/>
    </row>
    <row r="114" spans="8:8" x14ac:dyDescent="0.2">
      <c r="H114" s="109"/>
    </row>
    <row r="115" spans="8:8" x14ac:dyDescent="0.2">
      <c r="H115" s="109"/>
    </row>
    <row r="116" spans="8:8" x14ac:dyDescent="0.2">
      <c r="H116" s="109"/>
    </row>
    <row r="117" spans="8:8" x14ac:dyDescent="0.2">
      <c r="H117" s="109"/>
    </row>
    <row r="118" spans="8:8" x14ac:dyDescent="0.2">
      <c r="H118" s="109"/>
    </row>
    <row r="119" spans="8:8" x14ac:dyDescent="0.2">
      <c r="H119" s="109"/>
    </row>
    <row r="120" spans="8:8" x14ac:dyDescent="0.2">
      <c r="H120" s="109"/>
    </row>
    <row r="121" spans="8:8" x14ac:dyDescent="0.2">
      <c r="H121" s="109"/>
    </row>
    <row r="122" spans="8:8" x14ac:dyDescent="0.2">
      <c r="H122" s="109"/>
    </row>
    <row r="123" spans="8:8" x14ac:dyDescent="0.2">
      <c r="H123" s="109"/>
    </row>
    <row r="124" spans="8:8" x14ac:dyDescent="0.2">
      <c r="H124" s="109"/>
    </row>
    <row r="125" spans="8:8" x14ac:dyDescent="0.2">
      <c r="H125" s="109"/>
    </row>
    <row r="126" spans="8:8" x14ac:dyDescent="0.2">
      <c r="H126" s="109"/>
    </row>
    <row r="127" spans="8:8" x14ac:dyDescent="0.2">
      <c r="H127" s="109"/>
    </row>
    <row r="128" spans="8:8" x14ac:dyDescent="0.2">
      <c r="H128" s="109"/>
    </row>
    <row r="129" spans="8:8" x14ac:dyDescent="0.2">
      <c r="H129" s="109"/>
    </row>
    <row r="130" spans="8:8" x14ac:dyDescent="0.2">
      <c r="H130" s="109"/>
    </row>
    <row r="131" spans="8:8" x14ac:dyDescent="0.2">
      <c r="H131" s="109"/>
    </row>
    <row r="132" spans="8:8" x14ac:dyDescent="0.2">
      <c r="H132" s="109"/>
    </row>
    <row r="133" spans="8:8" x14ac:dyDescent="0.2">
      <c r="H133" s="109"/>
    </row>
    <row r="134" spans="8:8" x14ac:dyDescent="0.2">
      <c r="H134" s="109"/>
    </row>
  </sheetData>
  <sheetProtection algorithmName="SHA-512" hashValue="D2InER9c5sLdY52DnXvemIXQAgveZx9ZHVuzmm0ps55klB0V2ZHIL9xYEjHxthtZX1GWyVvAkeGDYUj7U5kNNQ==" saltValue="Pea0VxH6lmpNw9VyKYBe5w==" spinCount="100000" sheet="1" objects="1" scenarios="1"/>
  <mergeCells count="8">
    <mergeCell ref="B24:C34"/>
    <mergeCell ref="C11:C21"/>
    <mergeCell ref="D34:G34"/>
    <mergeCell ref="B2:H2"/>
    <mergeCell ref="B5:B22"/>
    <mergeCell ref="C5:C8"/>
    <mergeCell ref="C9:C10"/>
    <mergeCell ref="C22:G22"/>
  </mergeCells>
  <phoneticPr fontId="0" type="noConversion"/>
  <pageMargins left="0.63" right="0.43" top="1" bottom="1" header="0.5" footer="0.5"/>
  <pageSetup paperSize="9" scale="65" orientation="landscape" horizontalDpi="4294967294"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1968"/>
  <sheetViews>
    <sheetView workbookViewId="0">
      <selection activeCell="C15" sqref="C15"/>
    </sheetView>
  </sheetViews>
  <sheetFormatPr defaultColWidth="11.42578125" defaultRowHeight="12.75" x14ac:dyDescent="0.2"/>
  <cols>
    <col min="1" max="1" width="9.140625" style="127" customWidth="1"/>
    <col min="2" max="2" width="52.5703125" style="128" customWidth="1"/>
    <col min="3" max="3" width="15.7109375" style="128" bestFit="1" customWidth="1"/>
    <col min="4" max="4" width="14.5703125" style="128" customWidth="1"/>
    <col min="5" max="5" width="18.85546875" style="128" customWidth="1"/>
    <col min="6" max="16384" width="11.42578125" style="127"/>
  </cols>
  <sheetData>
    <row r="1" spans="1:7" x14ac:dyDescent="0.2">
      <c r="B1" s="143"/>
      <c r="C1" s="143"/>
      <c r="D1" s="143"/>
      <c r="E1" s="143"/>
      <c r="F1" s="130"/>
      <c r="G1" s="130"/>
    </row>
    <row r="2" spans="1:7" s="67" customFormat="1" ht="18" x14ac:dyDescent="0.25">
      <c r="A2" s="1"/>
      <c r="B2" s="567" t="s">
        <v>306</v>
      </c>
      <c r="C2" s="567"/>
      <c r="D2" s="567"/>
      <c r="E2" s="567"/>
      <c r="F2" s="1"/>
    </row>
    <row r="3" spans="1:7" x14ac:dyDescent="0.2">
      <c r="B3" s="143"/>
      <c r="C3" s="143"/>
      <c r="D3" s="143"/>
      <c r="E3" s="143"/>
      <c r="F3" s="130"/>
      <c r="G3" s="130"/>
    </row>
    <row r="4" spans="1:7" x14ac:dyDescent="0.2">
      <c r="B4" s="143"/>
      <c r="C4" s="143"/>
      <c r="D4" s="143"/>
      <c r="E4" s="143"/>
      <c r="F4" s="130"/>
      <c r="G4" s="130"/>
    </row>
    <row r="5" spans="1:7" ht="15.75" x14ac:dyDescent="0.25">
      <c r="B5" s="212" t="str">
        <f>+'12 Area cal.'!B5</f>
        <v xml:space="preserve">Mass rearing facility
</v>
      </c>
      <c r="C5" s="299" t="s">
        <v>279</v>
      </c>
      <c r="D5" s="300" t="s">
        <v>278</v>
      </c>
      <c r="E5" s="299" t="s">
        <v>277</v>
      </c>
      <c r="F5" s="130"/>
      <c r="G5" s="130"/>
    </row>
    <row r="6" spans="1:7" x14ac:dyDescent="0.2">
      <c r="B6" s="180" t="s">
        <v>282</v>
      </c>
      <c r="C6" s="213">
        <f>+'12 Area cal.'!H19+'12 Area cal.'!H20+'12 Area cal.'!H21+'12 Area cal.'!H14+'12 Area cal.'!H15++'12 Area cal.'!H11</f>
        <v>127.4016</v>
      </c>
      <c r="D6" s="250">
        <v>1500</v>
      </c>
      <c r="E6" s="214">
        <f>D6*C6</f>
        <v>191102.4</v>
      </c>
      <c r="F6" s="130"/>
      <c r="G6" s="130"/>
    </row>
    <row r="7" spans="1:7" x14ac:dyDescent="0.2">
      <c r="B7" s="180" t="s">
        <v>276</v>
      </c>
      <c r="C7" s="213">
        <f>+'12 Area cal.'!H5+'12 Area cal.'!H6+'12 Area cal.'!H7+'12 Area cal.'!H8+'12 Area cal.'!H9+'12 Area cal.'!H10+'12 Area cal.'!H12+'12 Area cal.'!H13</f>
        <v>67.015999999999991</v>
      </c>
      <c r="D7" s="250">
        <v>1200</v>
      </c>
      <c r="E7" s="214">
        <f>D7*C7</f>
        <v>80419.199999999983</v>
      </c>
      <c r="F7" s="130"/>
      <c r="G7" s="130"/>
    </row>
    <row r="8" spans="1:7" x14ac:dyDescent="0.2">
      <c r="B8" s="180" t="s">
        <v>283</v>
      </c>
      <c r="C8" s="213">
        <f>+'12 Area cal.'!H17+'12 Area cal.'!H18</f>
        <v>32</v>
      </c>
      <c r="D8" s="250">
        <v>1000</v>
      </c>
      <c r="E8" s="214">
        <f>D8*C8</f>
        <v>32000</v>
      </c>
      <c r="F8" s="130"/>
      <c r="G8" s="130"/>
    </row>
    <row r="9" spans="1:7" x14ac:dyDescent="0.2">
      <c r="B9" s="129"/>
      <c r="C9" s="144">
        <f>+SUM(C6:C8)</f>
        <v>226.41759999999999</v>
      </c>
      <c r="D9" s="211"/>
      <c r="E9" s="216">
        <f>SUM(E6:E8)</f>
        <v>303521.59999999998</v>
      </c>
      <c r="F9" s="130"/>
      <c r="G9" s="130"/>
    </row>
    <row r="10" spans="1:7" x14ac:dyDescent="0.2">
      <c r="B10" s="129"/>
      <c r="C10" s="144"/>
      <c r="D10" s="140" t="s">
        <v>275</v>
      </c>
      <c r="E10" s="251">
        <v>20</v>
      </c>
      <c r="F10" s="130"/>
      <c r="G10" s="130"/>
    </row>
    <row r="11" spans="1:7" x14ac:dyDescent="0.2">
      <c r="B11" s="129"/>
      <c r="C11" s="144"/>
      <c r="D11" s="139" t="s">
        <v>280</v>
      </c>
      <c r="E11" s="138">
        <f>+construction_cost_of_mass_rearing_facility/E10</f>
        <v>15176.079999999998</v>
      </c>
      <c r="F11" s="130"/>
      <c r="G11" s="130"/>
    </row>
    <row r="12" spans="1:7" x14ac:dyDescent="0.2">
      <c r="B12" s="143"/>
      <c r="C12" s="142"/>
      <c r="D12" s="131"/>
      <c r="E12" s="131"/>
      <c r="F12" s="131"/>
      <c r="G12" s="130"/>
    </row>
    <row r="13" spans="1:7" ht="15.75" x14ac:dyDescent="0.25">
      <c r="B13" s="215" t="str">
        <f>+'12 Area cal.'!B24</f>
        <v xml:space="preserve">Release facility
</v>
      </c>
      <c r="C13" s="299" t="s">
        <v>279</v>
      </c>
      <c r="D13" s="300" t="s">
        <v>278</v>
      </c>
      <c r="E13" s="299" t="s">
        <v>277</v>
      </c>
      <c r="F13" s="130"/>
      <c r="G13" s="130"/>
    </row>
    <row r="14" spans="1:7" x14ac:dyDescent="0.2">
      <c r="B14" s="180" t="s">
        <v>284</v>
      </c>
      <c r="C14" s="213">
        <f>+'12 Area cal.'!H27+'12 Area cal.'!H29+'12 Area cal.'!H31+'12 Area cal.'!H32+'12 Area cal.'!H33</f>
        <v>79.804400000000001</v>
      </c>
      <c r="D14" s="217">
        <f>+D6</f>
        <v>1500</v>
      </c>
      <c r="E14" s="214">
        <f>D14*C14</f>
        <v>119706.6</v>
      </c>
      <c r="F14" s="130"/>
      <c r="G14" s="130"/>
    </row>
    <row r="15" spans="1:7" x14ac:dyDescent="0.2">
      <c r="B15" s="180" t="s">
        <v>92</v>
      </c>
      <c r="C15" s="213">
        <f>++'12 Area cal.'!H25</f>
        <v>1.6199999999999999</v>
      </c>
      <c r="D15" s="453">
        <v>2000</v>
      </c>
      <c r="E15" s="214">
        <f>D15*C15</f>
        <v>3239.9999999999995</v>
      </c>
      <c r="F15" s="130"/>
      <c r="G15" s="130"/>
    </row>
    <row r="16" spans="1:7" x14ac:dyDescent="0.2">
      <c r="B16" s="180" t="s">
        <v>276</v>
      </c>
      <c r="C16" s="213">
        <f>+'12 Area cal.'!H24+'12 Area cal.'!H26+'12 Area cal.'!H28</f>
        <v>38.423999999999999</v>
      </c>
      <c r="D16" s="217">
        <f>+D7</f>
        <v>1200</v>
      </c>
      <c r="E16" s="214">
        <f>D16*C16</f>
        <v>46108.800000000003</v>
      </c>
      <c r="F16" s="130"/>
      <c r="G16" s="130"/>
    </row>
    <row r="17" spans="2:10" x14ac:dyDescent="0.2">
      <c r="B17" s="180" t="s">
        <v>283</v>
      </c>
      <c r="C17" s="213">
        <f>+'12 Area cal.'!H30</f>
        <v>10</v>
      </c>
      <c r="D17" s="217">
        <f>+D8</f>
        <v>1000</v>
      </c>
      <c r="E17" s="214">
        <f>D17*C17</f>
        <v>10000</v>
      </c>
      <c r="F17" s="130"/>
      <c r="G17" s="130"/>
    </row>
    <row r="18" spans="2:10" x14ac:dyDescent="0.2">
      <c r="B18" s="127"/>
      <c r="C18" s="144">
        <f>+SUM(C14:C17)</f>
        <v>129.8484</v>
      </c>
      <c r="D18" s="141"/>
      <c r="E18" s="216">
        <f>SUM(E14:E17)</f>
        <v>179055.40000000002</v>
      </c>
      <c r="F18" s="130"/>
      <c r="G18" s="130"/>
    </row>
    <row r="19" spans="2:10" x14ac:dyDescent="0.2">
      <c r="B19" s="131"/>
      <c r="C19" s="131"/>
      <c r="D19" s="140" t="s">
        <v>275</v>
      </c>
      <c r="E19" s="251">
        <v>20</v>
      </c>
      <c r="F19" s="137"/>
      <c r="G19" s="136"/>
      <c r="H19" s="135"/>
      <c r="I19" s="135"/>
      <c r="J19" s="135"/>
    </row>
    <row r="20" spans="2:10" x14ac:dyDescent="0.2">
      <c r="B20" s="131"/>
      <c r="C20" s="131"/>
      <c r="D20" s="139" t="s">
        <v>274</v>
      </c>
      <c r="E20" s="138">
        <f>+construction_cost_of_release_facility/E19</f>
        <v>8952.77</v>
      </c>
      <c r="F20" s="137"/>
      <c r="G20" s="136"/>
      <c r="H20" s="135"/>
      <c r="I20" s="135"/>
      <c r="J20" s="135"/>
    </row>
    <row r="21" spans="2:10" x14ac:dyDescent="0.2">
      <c r="B21" s="131"/>
      <c r="C21" s="131"/>
      <c r="D21" s="131"/>
      <c r="E21" s="131"/>
      <c r="F21" s="131"/>
      <c r="G21" s="130"/>
    </row>
    <row r="22" spans="2:10" x14ac:dyDescent="0.2">
      <c r="B22" s="131"/>
      <c r="C22" s="131"/>
      <c r="D22" s="131"/>
      <c r="E22" s="131"/>
      <c r="F22" s="131"/>
      <c r="G22" s="130"/>
    </row>
    <row r="23" spans="2:10" x14ac:dyDescent="0.2">
      <c r="B23" s="134" t="s">
        <v>273</v>
      </c>
      <c r="C23" s="133"/>
      <c r="D23" s="133"/>
      <c r="E23" s="67"/>
      <c r="F23" s="69"/>
      <c r="G23" s="69"/>
    </row>
    <row r="24" spans="2:10" ht="12.75" customHeight="1" x14ac:dyDescent="0.2">
      <c r="B24" s="585" t="s">
        <v>281</v>
      </c>
      <c r="C24" s="585"/>
      <c r="D24" s="585"/>
      <c r="E24" s="585"/>
      <c r="F24" s="132"/>
      <c r="G24" s="132"/>
    </row>
    <row r="25" spans="2:10" x14ac:dyDescent="0.2">
      <c r="B25" s="585"/>
      <c r="C25" s="585"/>
      <c r="D25" s="585"/>
      <c r="E25" s="585"/>
      <c r="F25" s="132"/>
      <c r="G25" s="132"/>
    </row>
    <row r="26" spans="2:10" x14ac:dyDescent="0.2">
      <c r="B26" s="132"/>
      <c r="C26" s="132"/>
      <c r="D26" s="132"/>
      <c r="E26" s="132"/>
      <c r="F26" s="132"/>
      <c r="G26" s="132"/>
    </row>
    <row r="27" spans="2:10" x14ac:dyDescent="0.2">
      <c r="B27" s="132"/>
      <c r="C27" s="132"/>
      <c r="D27" s="132"/>
      <c r="E27" s="132"/>
      <c r="F27" s="132"/>
      <c r="G27" s="132"/>
    </row>
    <row r="28" spans="2:10" x14ac:dyDescent="0.2">
      <c r="B28" s="132"/>
      <c r="C28" s="132"/>
      <c r="D28" s="132"/>
      <c r="E28" s="132"/>
      <c r="F28" s="132"/>
      <c r="G28" s="132"/>
    </row>
    <row r="29" spans="2:10" x14ac:dyDescent="0.2">
      <c r="B29" s="132"/>
      <c r="C29" s="132"/>
      <c r="D29" s="132"/>
      <c r="E29" s="132"/>
      <c r="F29" s="132"/>
      <c r="G29" s="132"/>
    </row>
    <row r="30" spans="2:10" x14ac:dyDescent="0.2">
      <c r="B30" s="131"/>
      <c r="C30" s="131"/>
      <c r="D30" s="131"/>
      <c r="E30" s="131"/>
      <c r="F30" s="131"/>
      <c r="G30" s="130"/>
    </row>
    <row r="31" spans="2:10" x14ac:dyDescent="0.2">
      <c r="B31" s="131"/>
      <c r="C31" s="131"/>
      <c r="D31" s="131"/>
      <c r="E31" s="131"/>
      <c r="F31" s="131"/>
      <c r="G31" s="130"/>
    </row>
    <row r="32" spans="2:10" x14ac:dyDescent="0.2">
      <c r="B32" s="131"/>
      <c r="C32" s="131"/>
      <c r="D32" s="131"/>
      <c r="E32" s="131"/>
      <c r="F32" s="131"/>
      <c r="G32" s="130"/>
    </row>
    <row r="33" spans="2:7" x14ac:dyDescent="0.2">
      <c r="B33" s="131"/>
      <c r="C33" s="131"/>
      <c r="D33" s="131"/>
      <c r="E33" s="131"/>
      <c r="F33" s="131"/>
      <c r="G33" s="130"/>
    </row>
    <row r="34" spans="2:7" x14ac:dyDescent="0.2">
      <c r="B34" s="131"/>
      <c r="C34" s="131"/>
      <c r="D34" s="131"/>
      <c r="E34" s="131"/>
      <c r="F34" s="131"/>
      <c r="G34" s="130"/>
    </row>
    <row r="35" spans="2:7" x14ac:dyDescent="0.2">
      <c r="B35" s="131"/>
      <c r="C35" s="131"/>
      <c r="D35" s="131"/>
      <c r="E35" s="131"/>
      <c r="F35" s="131"/>
      <c r="G35" s="130"/>
    </row>
    <row r="36" spans="2:7" x14ac:dyDescent="0.2">
      <c r="B36" s="131"/>
      <c r="C36" s="131"/>
      <c r="D36" s="131"/>
      <c r="E36" s="131"/>
      <c r="F36" s="131"/>
      <c r="G36" s="130"/>
    </row>
    <row r="37" spans="2:7" x14ac:dyDescent="0.2">
      <c r="B37" s="131"/>
      <c r="C37" s="131"/>
      <c r="D37" s="131"/>
      <c r="E37" s="131"/>
      <c r="F37" s="131"/>
      <c r="G37" s="130"/>
    </row>
    <row r="38" spans="2:7" x14ac:dyDescent="0.2">
      <c r="B38" s="131"/>
      <c r="C38" s="131"/>
      <c r="D38" s="131"/>
      <c r="E38" s="131"/>
      <c r="F38" s="131"/>
      <c r="G38" s="130"/>
    </row>
    <row r="39" spans="2:7" x14ac:dyDescent="0.2">
      <c r="B39" s="131"/>
      <c r="C39" s="131"/>
      <c r="D39" s="131"/>
      <c r="E39" s="131"/>
      <c r="F39" s="131"/>
      <c r="G39" s="130"/>
    </row>
    <row r="40" spans="2:7" x14ac:dyDescent="0.2">
      <c r="B40" s="131"/>
      <c r="C40" s="131"/>
      <c r="D40" s="131"/>
      <c r="E40" s="131"/>
      <c r="F40" s="131"/>
      <c r="G40" s="130"/>
    </row>
    <row r="41" spans="2:7" x14ac:dyDescent="0.2">
      <c r="B41" s="131"/>
      <c r="C41" s="131"/>
      <c r="D41" s="131"/>
      <c r="E41" s="131"/>
      <c r="F41" s="131"/>
      <c r="G41" s="130"/>
    </row>
    <row r="42" spans="2:7" x14ac:dyDescent="0.2">
      <c r="B42" s="131"/>
      <c r="C42" s="131"/>
      <c r="D42" s="131"/>
      <c r="E42" s="131"/>
      <c r="F42" s="131"/>
      <c r="G42" s="130"/>
    </row>
    <row r="43" spans="2:7" x14ac:dyDescent="0.2">
      <c r="B43" s="131"/>
      <c r="C43" s="131"/>
      <c r="D43" s="131"/>
      <c r="E43" s="131"/>
      <c r="F43" s="131"/>
      <c r="G43" s="130"/>
    </row>
    <row r="44" spans="2:7" x14ac:dyDescent="0.2">
      <c r="B44" s="131"/>
      <c r="C44" s="131"/>
      <c r="D44" s="131"/>
      <c r="E44" s="131"/>
      <c r="F44" s="131"/>
      <c r="G44" s="130"/>
    </row>
    <row r="45" spans="2:7" x14ac:dyDescent="0.2">
      <c r="B45" s="131"/>
      <c r="C45" s="131"/>
      <c r="D45" s="131"/>
      <c r="E45" s="131"/>
      <c r="F45" s="131"/>
      <c r="G45" s="130"/>
    </row>
    <row r="46" spans="2:7" x14ac:dyDescent="0.2">
      <c r="B46" s="131"/>
      <c r="C46" s="131"/>
      <c r="D46" s="131"/>
      <c r="E46" s="131"/>
      <c r="F46" s="131"/>
      <c r="G46" s="130"/>
    </row>
    <row r="47" spans="2:7" x14ac:dyDescent="0.2">
      <c r="B47" s="131"/>
      <c r="C47" s="131"/>
      <c r="D47" s="131"/>
      <c r="E47" s="131"/>
      <c r="F47" s="131"/>
      <c r="G47" s="130"/>
    </row>
    <row r="48" spans="2:7" x14ac:dyDescent="0.2">
      <c r="B48" s="131"/>
      <c r="C48" s="131"/>
      <c r="D48" s="131"/>
      <c r="E48" s="131"/>
      <c r="F48" s="131"/>
      <c r="G48" s="130"/>
    </row>
    <row r="49" spans="2:7" x14ac:dyDescent="0.2">
      <c r="B49" s="131"/>
      <c r="C49" s="131"/>
      <c r="D49" s="131"/>
      <c r="E49" s="131"/>
      <c r="F49" s="131"/>
      <c r="G49" s="130"/>
    </row>
    <row r="50" spans="2:7" x14ac:dyDescent="0.2">
      <c r="B50" s="131"/>
      <c r="C50" s="131"/>
      <c r="D50" s="131"/>
      <c r="E50" s="131"/>
      <c r="F50" s="131"/>
      <c r="G50" s="130"/>
    </row>
    <row r="51" spans="2:7" x14ac:dyDescent="0.2">
      <c r="B51" s="131"/>
      <c r="C51" s="131"/>
      <c r="D51" s="131"/>
      <c r="E51" s="131"/>
      <c r="F51" s="131"/>
      <c r="G51" s="130"/>
    </row>
    <row r="52" spans="2:7" x14ac:dyDescent="0.2">
      <c r="B52" s="131"/>
      <c r="C52" s="131"/>
      <c r="D52" s="131"/>
      <c r="E52" s="131"/>
      <c r="F52" s="131"/>
      <c r="G52" s="130"/>
    </row>
    <row r="53" spans="2:7" x14ac:dyDescent="0.2">
      <c r="B53" s="131"/>
      <c r="C53" s="131"/>
      <c r="D53" s="131"/>
      <c r="E53" s="131"/>
      <c r="F53" s="131"/>
      <c r="G53" s="130"/>
    </row>
    <row r="54" spans="2:7" x14ac:dyDescent="0.2">
      <c r="B54" s="131"/>
      <c r="C54" s="131"/>
      <c r="D54" s="131"/>
      <c r="E54" s="131"/>
      <c r="F54" s="131"/>
      <c r="G54" s="130"/>
    </row>
    <row r="55" spans="2:7" x14ac:dyDescent="0.2">
      <c r="B55" s="131"/>
      <c r="C55" s="131"/>
      <c r="D55" s="131"/>
      <c r="E55" s="131"/>
      <c r="F55" s="131"/>
      <c r="G55" s="130"/>
    </row>
    <row r="56" spans="2:7" x14ac:dyDescent="0.2">
      <c r="B56" s="131"/>
      <c r="C56" s="131"/>
      <c r="D56" s="131"/>
      <c r="E56" s="131"/>
      <c r="F56" s="131"/>
      <c r="G56" s="130"/>
    </row>
    <row r="57" spans="2:7" x14ac:dyDescent="0.2">
      <c r="B57" s="131"/>
      <c r="C57" s="131"/>
      <c r="D57" s="131"/>
      <c r="E57" s="131"/>
      <c r="F57" s="131"/>
      <c r="G57" s="130"/>
    </row>
    <row r="58" spans="2:7" x14ac:dyDescent="0.2">
      <c r="B58" s="131"/>
      <c r="C58" s="131"/>
      <c r="D58" s="131"/>
      <c r="E58" s="131"/>
      <c r="F58" s="131"/>
      <c r="G58" s="130"/>
    </row>
    <row r="59" spans="2:7" x14ac:dyDescent="0.2">
      <c r="B59" s="131"/>
      <c r="C59" s="131"/>
      <c r="D59" s="131"/>
      <c r="E59" s="131"/>
      <c r="F59" s="131"/>
      <c r="G59" s="130"/>
    </row>
    <row r="60" spans="2:7" x14ac:dyDescent="0.2">
      <c r="B60" s="131"/>
      <c r="C60" s="131"/>
      <c r="D60" s="131"/>
      <c r="E60" s="131"/>
      <c r="F60" s="131"/>
      <c r="G60" s="130"/>
    </row>
    <row r="61" spans="2:7" x14ac:dyDescent="0.2">
      <c r="B61" s="131"/>
      <c r="C61" s="131"/>
      <c r="D61" s="131"/>
      <c r="E61" s="131"/>
      <c r="F61" s="131"/>
      <c r="G61" s="130"/>
    </row>
    <row r="62" spans="2:7" x14ac:dyDescent="0.2">
      <c r="B62" s="131"/>
      <c r="C62" s="131"/>
      <c r="D62" s="131"/>
      <c r="E62" s="131"/>
      <c r="F62" s="131"/>
      <c r="G62" s="130"/>
    </row>
    <row r="63" spans="2:7" x14ac:dyDescent="0.2">
      <c r="B63" s="131"/>
      <c r="C63" s="131"/>
      <c r="D63" s="131"/>
      <c r="E63" s="131"/>
      <c r="F63" s="131"/>
      <c r="G63" s="130"/>
    </row>
    <row r="64" spans="2:7" x14ac:dyDescent="0.2">
      <c r="B64" s="131"/>
      <c r="C64" s="131"/>
      <c r="D64" s="131"/>
      <c r="E64" s="131"/>
      <c r="F64" s="131"/>
      <c r="G64" s="130"/>
    </row>
    <row r="65" spans="2:7" x14ac:dyDescent="0.2">
      <c r="B65" s="131"/>
      <c r="C65" s="131"/>
      <c r="D65" s="131"/>
      <c r="E65" s="131"/>
      <c r="F65" s="131"/>
      <c r="G65" s="130"/>
    </row>
    <row r="66" spans="2:7" x14ac:dyDescent="0.2">
      <c r="B66" s="131"/>
      <c r="C66" s="131"/>
      <c r="D66" s="131"/>
      <c r="E66" s="131"/>
      <c r="F66" s="131"/>
      <c r="G66" s="130"/>
    </row>
    <row r="67" spans="2:7" x14ac:dyDescent="0.2">
      <c r="B67" s="131"/>
      <c r="C67" s="131"/>
      <c r="D67" s="131"/>
      <c r="E67" s="131"/>
      <c r="F67" s="131"/>
      <c r="G67" s="130"/>
    </row>
    <row r="68" spans="2:7" x14ac:dyDescent="0.2">
      <c r="B68" s="131"/>
      <c r="C68" s="131"/>
      <c r="D68" s="131"/>
      <c r="E68" s="131"/>
      <c r="F68" s="131"/>
      <c r="G68" s="130"/>
    </row>
    <row r="69" spans="2:7" x14ac:dyDescent="0.2">
      <c r="B69" s="131"/>
      <c r="C69" s="131"/>
      <c r="D69" s="131"/>
      <c r="E69" s="131"/>
      <c r="F69" s="131"/>
      <c r="G69" s="130"/>
    </row>
    <row r="70" spans="2:7" x14ac:dyDescent="0.2">
      <c r="B70" s="131"/>
      <c r="C70" s="131"/>
      <c r="D70" s="131"/>
      <c r="E70" s="131"/>
      <c r="F70" s="131"/>
      <c r="G70" s="130"/>
    </row>
    <row r="71" spans="2:7" x14ac:dyDescent="0.2">
      <c r="B71" s="131"/>
      <c r="C71" s="131"/>
      <c r="D71" s="131"/>
      <c r="E71" s="131"/>
      <c r="F71" s="131"/>
      <c r="G71" s="130"/>
    </row>
    <row r="72" spans="2:7" x14ac:dyDescent="0.2">
      <c r="B72" s="131"/>
      <c r="C72" s="131"/>
      <c r="D72" s="131"/>
      <c r="E72" s="131"/>
      <c r="F72" s="131"/>
      <c r="G72" s="130"/>
    </row>
    <row r="73" spans="2:7" x14ac:dyDescent="0.2">
      <c r="B73" s="131"/>
      <c r="C73" s="131"/>
      <c r="D73" s="131"/>
      <c r="E73" s="131"/>
      <c r="F73" s="131"/>
      <c r="G73" s="130"/>
    </row>
    <row r="74" spans="2:7" x14ac:dyDescent="0.2">
      <c r="B74" s="131"/>
      <c r="C74" s="131"/>
      <c r="D74" s="131"/>
      <c r="E74" s="131"/>
      <c r="F74" s="131"/>
      <c r="G74" s="130"/>
    </row>
    <row r="75" spans="2:7" x14ac:dyDescent="0.2">
      <c r="B75" s="131"/>
      <c r="C75" s="131"/>
      <c r="D75" s="131"/>
      <c r="E75" s="131"/>
      <c r="F75" s="131"/>
      <c r="G75" s="130"/>
    </row>
    <row r="76" spans="2:7" x14ac:dyDescent="0.2">
      <c r="B76" s="131"/>
      <c r="C76" s="131"/>
      <c r="D76" s="131"/>
      <c r="E76" s="131"/>
      <c r="F76" s="131"/>
      <c r="G76" s="130"/>
    </row>
    <row r="77" spans="2:7" x14ac:dyDescent="0.2">
      <c r="B77" s="131"/>
      <c r="C77" s="131"/>
      <c r="D77" s="131"/>
      <c r="E77" s="131"/>
      <c r="F77" s="131"/>
      <c r="G77" s="130"/>
    </row>
    <row r="78" spans="2:7" x14ac:dyDescent="0.2">
      <c r="B78" s="131"/>
      <c r="C78" s="131"/>
      <c r="D78" s="131"/>
      <c r="E78" s="131"/>
      <c r="F78" s="131"/>
      <c r="G78" s="130"/>
    </row>
    <row r="79" spans="2:7" x14ac:dyDescent="0.2">
      <c r="B79" s="131"/>
      <c r="C79" s="131"/>
      <c r="D79" s="131"/>
      <c r="E79" s="131"/>
      <c r="F79" s="131"/>
      <c r="G79" s="130"/>
    </row>
    <row r="80" spans="2:7" x14ac:dyDescent="0.2">
      <c r="B80" s="131"/>
      <c r="C80" s="131"/>
      <c r="D80" s="131"/>
      <c r="E80" s="131"/>
      <c r="F80" s="131"/>
      <c r="G80" s="130"/>
    </row>
    <row r="81" spans="2:7" x14ac:dyDescent="0.2">
      <c r="B81" s="131"/>
      <c r="C81" s="131"/>
      <c r="D81" s="131"/>
      <c r="E81" s="131"/>
      <c r="F81" s="131"/>
      <c r="G81" s="130"/>
    </row>
    <row r="82" spans="2:7" x14ac:dyDescent="0.2">
      <c r="B82" s="131"/>
      <c r="C82" s="131"/>
      <c r="D82" s="131"/>
      <c r="E82" s="131"/>
      <c r="F82" s="131"/>
      <c r="G82" s="130"/>
    </row>
    <row r="83" spans="2:7" x14ac:dyDescent="0.2">
      <c r="B83" s="131"/>
      <c r="C83" s="131"/>
      <c r="D83" s="131"/>
      <c r="E83" s="131"/>
      <c r="F83" s="131"/>
      <c r="G83" s="130"/>
    </row>
    <row r="84" spans="2:7" x14ac:dyDescent="0.2">
      <c r="B84" s="131"/>
      <c r="C84" s="131"/>
      <c r="D84" s="131"/>
      <c r="E84" s="131"/>
      <c r="F84" s="131"/>
      <c r="G84" s="130"/>
    </row>
    <row r="85" spans="2:7" x14ac:dyDescent="0.2">
      <c r="B85" s="131"/>
      <c r="C85" s="131"/>
      <c r="D85" s="131"/>
      <c r="E85" s="131"/>
      <c r="F85" s="131"/>
      <c r="G85" s="130"/>
    </row>
    <row r="86" spans="2:7" x14ac:dyDescent="0.2">
      <c r="B86" s="131"/>
      <c r="C86" s="131"/>
      <c r="D86" s="131"/>
      <c r="E86" s="131"/>
      <c r="F86" s="131"/>
      <c r="G86" s="130"/>
    </row>
    <row r="87" spans="2:7" x14ac:dyDescent="0.2">
      <c r="B87" s="131"/>
      <c r="C87" s="131"/>
      <c r="D87" s="131"/>
      <c r="E87" s="131"/>
      <c r="F87" s="131"/>
      <c r="G87" s="130"/>
    </row>
    <row r="88" spans="2:7" x14ac:dyDescent="0.2">
      <c r="B88" s="131"/>
      <c r="C88" s="131"/>
      <c r="D88" s="131"/>
      <c r="E88" s="131"/>
      <c r="F88" s="131"/>
      <c r="G88" s="130"/>
    </row>
    <row r="89" spans="2:7" x14ac:dyDescent="0.2">
      <c r="B89" s="131"/>
      <c r="C89" s="131"/>
      <c r="D89" s="131"/>
      <c r="E89" s="131"/>
      <c r="F89" s="131"/>
      <c r="G89" s="130"/>
    </row>
    <row r="90" spans="2:7" x14ac:dyDescent="0.2">
      <c r="B90" s="131"/>
      <c r="C90" s="131"/>
      <c r="D90" s="131"/>
      <c r="E90" s="131"/>
      <c r="F90" s="131"/>
      <c r="G90" s="130"/>
    </row>
    <row r="91" spans="2:7" x14ac:dyDescent="0.2">
      <c r="B91" s="131"/>
      <c r="C91" s="131"/>
      <c r="D91" s="131"/>
      <c r="E91" s="131"/>
      <c r="F91" s="131"/>
      <c r="G91" s="130"/>
    </row>
    <row r="92" spans="2:7" x14ac:dyDescent="0.2">
      <c r="B92" s="131"/>
      <c r="C92" s="131"/>
      <c r="D92" s="131"/>
      <c r="E92" s="131"/>
      <c r="F92" s="131"/>
      <c r="G92" s="130"/>
    </row>
    <row r="93" spans="2:7" x14ac:dyDescent="0.2">
      <c r="B93" s="131"/>
      <c r="C93" s="131"/>
      <c r="D93" s="131"/>
      <c r="E93" s="131"/>
      <c r="F93" s="131"/>
      <c r="G93" s="130"/>
    </row>
    <row r="94" spans="2:7" x14ac:dyDescent="0.2">
      <c r="B94" s="131"/>
      <c r="C94" s="131"/>
      <c r="D94" s="131"/>
      <c r="E94" s="131"/>
      <c r="F94" s="131"/>
      <c r="G94" s="130"/>
    </row>
    <row r="95" spans="2:7" x14ac:dyDescent="0.2">
      <c r="B95" s="131"/>
      <c r="C95" s="131"/>
      <c r="D95" s="131"/>
      <c r="E95" s="131"/>
      <c r="F95" s="131"/>
      <c r="G95" s="130"/>
    </row>
    <row r="96" spans="2:7" x14ac:dyDescent="0.2">
      <c r="B96" s="131"/>
      <c r="C96" s="131"/>
      <c r="D96" s="131"/>
      <c r="E96" s="131"/>
      <c r="F96" s="131"/>
      <c r="G96" s="130"/>
    </row>
    <row r="97" spans="2:7" x14ac:dyDescent="0.2">
      <c r="B97" s="131"/>
      <c r="C97" s="131"/>
      <c r="D97" s="131"/>
      <c r="E97" s="131"/>
      <c r="F97" s="131"/>
      <c r="G97" s="130"/>
    </row>
    <row r="98" spans="2:7" x14ac:dyDescent="0.2">
      <c r="B98" s="131"/>
      <c r="C98" s="131"/>
      <c r="D98" s="131"/>
      <c r="E98" s="131"/>
      <c r="F98" s="131"/>
      <c r="G98" s="130"/>
    </row>
    <row r="99" spans="2:7" x14ac:dyDescent="0.2">
      <c r="B99" s="131"/>
      <c r="C99" s="131"/>
      <c r="D99" s="131"/>
      <c r="E99" s="131"/>
      <c r="F99" s="131"/>
      <c r="G99" s="130"/>
    </row>
    <row r="100" spans="2:7" x14ac:dyDescent="0.2">
      <c r="B100" s="131"/>
      <c r="C100" s="131"/>
      <c r="D100" s="131"/>
      <c r="E100" s="131"/>
      <c r="F100" s="131"/>
      <c r="G100" s="130"/>
    </row>
    <row r="101" spans="2:7" x14ac:dyDescent="0.2">
      <c r="B101" s="131"/>
      <c r="C101" s="131"/>
      <c r="D101" s="131"/>
      <c r="E101" s="131"/>
      <c r="F101" s="131"/>
      <c r="G101" s="130"/>
    </row>
    <row r="102" spans="2:7" x14ac:dyDescent="0.2">
      <c r="B102" s="131"/>
      <c r="C102" s="131"/>
      <c r="D102" s="131"/>
      <c r="E102" s="131"/>
      <c r="F102" s="131"/>
      <c r="G102" s="130"/>
    </row>
    <row r="103" spans="2:7" x14ac:dyDescent="0.2">
      <c r="B103" s="131"/>
      <c r="C103" s="131"/>
      <c r="D103" s="131"/>
      <c r="E103" s="131"/>
      <c r="F103" s="131"/>
      <c r="G103" s="130"/>
    </row>
    <row r="104" spans="2:7" x14ac:dyDescent="0.2">
      <c r="B104" s="131"/>
      <c r="C104" s="131"/>
      <c r="D104" s="131"/>
      <c r="E104" s="131"/>
      <c r="F104" s="131"/>
      <c r="G104" s="130"/>
    </row>
    <row r="105" spans="2:7" x14ac:dyDescent="0.2">
      <c r="B105" s="131"/>
      <c r="C105" s="131"/>
      <c r="D105" s="131"/>
      <c r="E105" s="131"/>
      <c r="F105" s="131"/>
      <c r="G105" s="130"/>
    </row>
    <row r="106" spans="2:7" x14ac:dyDescent="0.2">
      <c r="B106" s="131"/>
      <c r="C106" s="131"/>
      <c r="D106" s="131"/>
      <c r="E106" s="131"/>
      <c r="F106" s="131"/>
      <c r="G106" s="130"/>
    </row>
    <row r="107" spans="2:7" x14ac:dyDescent="0.2">
      <c r="B107" s="131"/>
      <c r="C107" s="131"/>
      <c r="D107" s="131"/>
      <c r="E107" s="131"/>
      <c r="F107" s="131"/>
      <c r="G107" s="130"/>
    </row>
    <row r="108" spans="2:7" x14ac:dyDescent="0.2">
      <c r="B108" s="131"/>
      <c r="C108" s="131"/>
      <c r="D108" s="131"/>
      <c r="E108" s="131"/>
      <c r="F108" s="131"/>
      <c r="G108" s="130"/>
    </row>
    <row r="109" spans="2:7" x14ac:dyDescent="0.2">
      <c r="B109" s="131"/>
      <c r="C109" s="131"/>
      <c r="D109" s="131"/>
      <c r="E109" s="131"/>
      <c r="F109" s="131"/>
      <c r="G109" s="130"/>
    </row>
    <row r="110" spans="2:7" x14ac:dyDescent="0.2">
      <c r="B110" s="131"/>
      <c r="C110" s="131"/>
      <c r="D110" s="131"/>
      <c r="E110" s="131"/>
      <c r="F110" s="131"/>
      <c r="G110" s="130"/>
    </row>
    <row r="111" spans="2:7" x14ac:dyDescent="0.2">
      <c r="B111" s="131"/>
      <c r="C111" s="131"/>
      <c r="D111" s="131"/>
      <c r="E111" s="131"/>
      <c r="F111" s="131"/>
      <c r="G111" s="130"/>
    </row>
    <row r="112" spans="2:7" x14ac:dyDescent="0.2">
      <c r="B112" s="131"/>
      <c r="C112" s="131"/>
      <c r="D112" s="131"/>
      <c r="E112" s="131"/>
      <c r="F112" s="131"/>
      <c r="G112" s="130"/>
    </row>
    <row r="113" spans="2:7" x14ac:dyDescent="0.2">
      <c r="B113" s="131"/>
      <c r="C113" s="131"/>
      <c r="D113" s="131"/>
      <c r="E113" s="131"/>
      <c r="F113" s="131"/>
      <c r="G113" s="130"/>
    </row>
    <row r="114" spans="2:7" x14ac:dyDescent="0.2">
      <c r="B114" s="131"/>
      <c r="C114" s="131"/>
      <c r="D114" s="131"/>
      <c r="E114" s="131"/>
      <c r="F114" s="131"/>
      <c r="G114" s="130"/>
    </row>
    <row r="115" spans="2:7" x14ac:dyDescent="0.2">
      <c r="B115" s="131"/>
      <c r="C115" s="131"/>
      <c r="D115" s="131"/>
      <c r="E115" s="131"/>
      <c r="F115" s="131"/>
      <c r="G115" s="130"/>
    </row>
    <row r="116" spans="2:7" x14ac:dyDescent="0.2">
      <c r="B116" s="131"/>
      <c r="C116" s="131"/>
      <c r="D116" s="131"/>
      <c r="E116" s="131"/>
      <c r="F116" s="131"/>
      <c r="G116" s="130"/>
    </row>
    <row r="117" spans="2:7" x14ac:dyDescent="0.2">
      <c r="B117" s="131"/>
      <c r="C117" s="131"/>
      <c r="D117" s="131"/>
      <c r="E117" s="131"/>
      <c r="F117" s="131"/>
      <c r="G117" s="130"/>
    </row>
    <row r="118" spans="2:7" x14ac:dyDescent="0.2">
      <c r="B118" s="131"/>
      <c r="C118" s="131"/>
      <c r="D118" s="131"/>
      <c r="E118" s="131"/>
      <c r="F118" s="131"/>
      <c r="G118" s="130"/>
    </row>
    <row r="119" spans="2:7" x14ac:dyDescent="0.2">
      <c r="B119" s="131"/>
      <c r="C119" s="131"/>
      <c r="D119" s="131"/>
      <c r="E119" s="131"/>
      <c r="F119" s="131"/>
      <c r="G119" s="130"/>
    </row>
    <row r="120" spans="2:7" x14ac:dyDescent="0.2">
      <c r="B120" s="131"/>
      <c r="C120" s="131"/>
      <c r="D120" s="131"/>
      <c r="E120" s="131"/>
      <c r="F120" s="131"/>
      <c r="G120" s="130"/>
    </row>
    <row r="121" spans="2:7" x14ac:dyDescent="0.2">
      <c r="B121" s="131"/>
      <c r="C121" s="131"/>
      <c r="D121" s="131"/>
      <c r="E121" s="131"/>
      <c r="F121" s="131"/>
      <c r="G121" s="130"/>
    </row>
    <row r="122" spans="2:7" x14ac:dyDescent="0.2">
      <c r="B122" s="131"/>
      <c r="C122" s="131"/>
      <c r="D122" s="131"/>
      <c r="E122" s="131"/>
      <c r="F122" s="131"/>
      <c r="G122" s="130"/>
    </row>
    <row r="123" spans="2:7" x14ac:dyDescent="0.2">
      <c r="B123" s="131"/>
      <c r="C123" s="131"/>
      <c r="D123" s="131"/>
      <c r="E123" s="131"/>
      <c r="F123" s="131"/>
      <c r="G123" s="130"/>
    </row>
    <row r="124" spans="2:7" x14ac:dyDescent="0.2">
      <c r="B124" s="131"/>
      <c r="C124" s="131"/>
      <c r="D124" s="131"/>
      <c r="E124" s="131"/>
      <c r="F124" s="131"/>
      <c r="G124" s="130"/>
    </row>
    <row r="125" spans="2:7" x14ac:dyDescent="0.2">
      <c r="B125" s="131"/>
      <c r="C125" s="131"/>
      <c r="D125" s="131"/>
      <c r="E125" s="131"/>
      <c r="F125" s="131"/>
      <c r="G125" s="130"/>
    </row>
    <row r="126" spans="2:7" x14ac:dyDescent="0.2">
      <c r="B126" s="131"/>
      <c r="C126" s="131"/>
      <c r="D126" s="131"/>
      <c r="E126" s="131"/>
      <c r="F126" s="131"/>
      <c r="G126" s="130"/>
    </row>
    <row r="127" spans="2:7" x14ac:dyDescent="0.2">
      <c r="B127" s="131"/>
      <c r="C127" s="131"/>
      <c r="D127" s="131"/>
      <c r="E127" s="131"/>
      <c r="F127" s="131"/>
      <c r="G127" s="130"/>
    </row>
    <row r="128" spans="2:7" x14ac:dyDescent="0.2">
      <c r="B128" s="131"/>
      <c r="C128" s="131"/>
      <c r="D128" s="131"/>
      <c r="E128" s="131"/>
      <c r="F128" s="131"/>
      <c r="G128" s="130"/>
    </row>
    <row r="129" spans="2:7" x14ac:dyDescent="0.2">
      <c r="B129" s="131"/>
      <c r="C129" s="131"/>
      <c r="D129" s="131"/>
      <c r="E129" s="131"/>
      <c r="F129" s="131"/>
      <c r="G129" s="130"/>
    </row>
    <row r="130" spans="2:7" x14ac:dyDescent="0.2">
      <c r="B130" s="131"/>
      <c r="C130" s="131"/>
      <c r="D130" s="131"/>
      <c r="E130" s="131"/>
      <c r="F130" s="131"/>
      <c r="G130" s="130"/>
    </row>
    <row r="131" spans="2:7" x14ac:dyDescent="0.2">
      <c r="B131" s="131"/>
      <c r="C131" s="131"/>
      <c r="D131" s="131"/>
      <c r="E131" s="131"/>
      <c r="F131" s="131"/>
      <c r="G131" s="130"/>
    </row>
    <row r="132" spans="2:7" x14ac:dyDescent="0.2">
      <c r="B132" s="131"/>
      <c r="C132" s="131"/>
      <c r="D132" s="131"/>
      <c r="E132" s="131"/>
      <c r="F132" s="131"/>
      <c r="G132" s="130"/>
    </row>
    <row r="133" spans="2:7" x14ac:dyDescent="0.2">
      <c r="B133" s="131"/>
      <c r="C133" s="131"/>
      <c r="D133" s="131"/>
      <c r="E133" s="131"/>
      <c r="F133" s="131"/>
      <c r="G133" s="130"/>
    </row>
    <row r="134" spans="2:7" x14ac:dyDescent="0.2">
      <c r="B134" s="131"/>
      <c r="C134" s="131"/>
      <c r="D134" s="131"/>
      <c r="E134" s="131"/>
      <c r="F134" s="131"/>
      <c r="G134" s="130"/>
    </row>
    <row r="135" spans="2:7" x14ac:dyDescent="0.2">
      <c r="B135" s="129"/>
      <c r="C135" s="129"/>
      <c r="D135" s="129"/>
      <c r="E135" s="129"/>
      <c r="F135" s="129"/>
    </row>
    <row r="136" spans="2:7" x14ac:dyDescent="0.2">
      <c r="B136" s="129"/>
      <c r="C136" s="129"/>
      <c r="D136" s="129"/>
      <c r="E136" s="129"/>
      <c r="F136" s="129"/>
    </row>
    <row r="137" spans="2:7" x14ac:dyDescent="0.2">
      <c r="B137" s="129"/>
      <c r="C137" s="129"/>
      <c r="D137" s="129"/>
      <c r="E137" s="129"/>
      <c r="F137" s="129"/>
    </row>
    <row r="138" spans="2:7" x14ac:dyDescent="0.2">
      <c r="B138" s="129"/>
      <c r="C138" s="129"/>
      <c r="D138" s="129"/>
      <c r="E138" s="129"/>
      <c r="F138" s="129"/>
    </row>
    <row r="139" spans="2:7" x14ac:dyDescent="0.2">
      <c r="B139" s="129"/>
      <c r="C139" s="129"/>
      <c r="D139" s="129"/>
      <c r="E139" s="129"/>
      <c r="F139" s="129"/>
    </row>
    <row r="140" spans="2:7" x14ac:dyDescent="0.2">
      <c r="B140" s="129"/>
      <c r="C140" s="129"/>
      <c r="D140" s="129"/>
      <c r="E140" s="129"/>
      <c r="F140" s="129"/>
    </row>
    <row r="141" spans="2:7" x14ac:dyDescent="0.2">
      <c r="B141" s="129"/>
      <c r="C141" s="129"/>
      <c r="D141" s="129"/>
      <c r="E141" s="129"/>
      <c r="F141" s="129"/>
    </row>
    <row r="142" spans="2:7" x14ac:dyDescent="0.2">
      <c r="B142" s="129"/>
      <c r="C142" s="129"/>
      <c r="D142" s="129"/>
      <c r="E142" s="129"/>
      <c r="F142" s="129"/>
    </row>
    <row r="143" spans="2:7" x14ac:dyDescent="0.2">
      <c r="B143" s="129"/>
      <c r="C143" s="129"/>
      <c r="D143" s="129"/>
      <c r="E143" s="129"/>
      <c r="F143" s="129"/>
    </row>
    <row r="144" spans="2:7" x14ac:dyDescent="0.2">
      <c r="B144" s="129"/>
      <c r="C144" s="129"/>
      <c r="D144" s="129"/>
      <c r="E144" s="129"/>
      <c r="F144" s="129"/>
    </row>
    <row r="145" spans="2:6" x14ac:dyDescent="0.2">
      <c r="B145" s="129"/>
      <c r="C145" s="129"/>
      <c r="D145" s="129"/>
      <c r="E145" s="129"/>
      <c r="F145" s="129"/>
    </row>
    <row r="146" spans="2:6" x14ac:dyDescent="0.2">
      <c r="B146" s="129"/>
      <c r="C146" s="129"/>
      <c r="D146" s="129"/>
      <c r="E146" s="129"/>
      <c r="F146" s="129"/>
    </row>
    <row r="147" spans="2:6" x14ac:dyDescent="0.2">
      <c r="B147" s="129"/>
      <c r="C147" s="129"/>
      <c r="D147" s="129"/>
      <c r="E147" s="129"/>
      <c r="F147" s="129"/>
    </row>
    <row r="148" spans="2:6" x14ac:dyDescent="0.2">
      <c r="B148" s="129"/>
      <c r="C148" s="129"/>
      <c r="D148" s="129"/>
      <c r="E148" s="129"/>
      <c r="F148" s="129"/>
    </row>
    <row r="149" spans="2:6" x14ac:dyDescent="0.2">
      <c r="B149" s="129"/>
      <c r="C149" s="129"/>
      <c r="D149" s="129"/>
      <c r="E149" s="129"/>
      <c r="F149" s="129"/>
    </row>
    <row r="150" spans="2:6" x14ac:dyDescent="0.2">
      <c r="B150" s="129"/>
      <c r="C150" s="129"/>
      <c r="D150" s="129"/>
      <c r="E150" s="129"/>
      <c r="F150" s="129"/>
    </row>
    <row r="151" spans="2:6" x14ac:dyDescent="0.2">
      <c r="B151" s="129"/>
      <c r="C151" s="129"/>
      <c r="D151" s="129"/>
      <c r="E151" s="129"/>
      <c r="F151" s="129"/>
    </row>
    <row r="152" spans="2:6" x14ac:dyDescent="0.2">
      <c r="B152" s="129"/>
      <c r="C152" s="129"/>
      <c r="D152" s="129"/>
      <c r="E152" s="129"/>
      <c r="F152" s="129"/>
    </row>
    <row r="153" spans="2:6" x14ac:dyDescent="0.2">
      <c r="B153" s="129"/>
      <c r="C153" s="129"/>
      <c r="D153" s="129"/>
      <c r="E153" s="129"/>
      <c r="F153" s="129"/>
    </row>
    <row r="154" spans="2:6" x14ac:dyDescent="0.2">
      <c r="B154" s="129"/>
      <c r="C154" s="129"/>
      <c r="D154" s="129"/>
      <c r="E154" s="129"/>
      <c r="F154" s="129"/>
    </row>
    <row r="155" spans="2:6" x14ac:dyDescent="0.2">
      <c r="B155" s="129"/>
      <c r="C155" s="129"/>
      <c r="D155" s="129"/>
      <c r="E155" s="129"/>
      <c r="F155" s="129"/>
    </row>
    <row r="156" spans="2:6" x14ac:dyDescent="0.2">
      <c r="B156" s="129"/>
      <c r="C156" s="129"/>
      <c r="D156" s="129"/>
      <c r="E156" s="129"/>
      <c r="F156" s="129"/>
    </row>
    <row r="157" spans="2:6" x14ac:dyDescent="0.2">
      <c r="B157" s="129"/>
      <c r="C157" s="129"/>
      <c r="D157" s="129"/>
      <c r="E157" s="129"/>
      <c r="F157" s="129"/>
    </row>
    <row r="158" spans="2:6" x14ac:dyDescent="0.2">
      <c r="B158" s="129"/>
      <c r="C158" s="129"/>
      <c r="D158" s="129"/>
      <c r="E158" s="129"/>
      <c r="F158" s="129"/>
    </row>
    <row r="159" spans="2:6" x14ac:dyDescent="0.2">
      <c r="B159" s="129"/>
      <c r="C159" s="129"/>
      <c r="D159" s="129"/>
      <c r="E159" s="129"/>
      <c r="F159" s="129"/>
    </row>
    <row r="160" spans="2:6" x14ac:dyDescent="0.2">
      <c r="B160" s="129"/>
      <c r="C160" s="129"/>
      <c r="D160" s="129"/>
      <c r="E160" s="129"/>
      <c r="F160" s="129"/>
    </row>
    <row r="161" spans="2:6" x14ac:dyDescent="0.2">
      <c r="B161" s="129"/>
      <c r="C161" s="129"/>
      <c r="D161" s="129"/>
      <c r="E161" s="129"/>
      <c r="F161" s="129"/>
    </row>
    <row r="162" spans="2:6" x14ac:dyDescent="0.2">
      <c r="B162" s="129"/>
      <c r="C162" s="129"/>
      <c r="D162" s="129"/>
      <c r="E162" s="129"/>
      <c r="F162" s="129"/>
    </row>
    <row r="163" spans="2:6" x14ac:dyDescent="0.2">
      <c r="B163" s="129"/>
      <c r="C163" s="129"/>
      <c r="D163" s="129"/>
      <c r="E163" s="129"/>
      <c r="F163" s="129"/>
    </row>
    <row r="164" spans="2:6" x14ac:dyDescent="0.2">
      <c r="B164" s="129"/>
      <c r="C164" s="129"/>
      <c r="D164" s="129"/>
      <c r="E164" s="129"/>
      <c r="F164" s="129"/>
    </row>
    <row r="165" spans="2:6" x14ac:dyDescent="0.2">
      <c r="B165" s="129"/>
      <c r="C165" s="129"/>
      <c r="D165" s="129"/>
      <c r="E165" s="129"/>
      <c r="F165" s="129"/>
    </row>
    <row r="166" spans="2:6" x14ac:dyDescent="0.2">
      <c r="B166" s="129"/>
      <c r="C166" s="129"/>
      <c r="D166" s="129"/>
      <c r="E166" s="129"/>
      <c r="F166" s="129"/>
    </row>
    <row r="167" spans="2:6" x14ac:dyDescent="0.2">
      <c r="B167" s="129"/>
      <c r="C167" s="129"/>
      <c r="D167" s="129"/>
      <c r="E167" s="129"/>
      <c r="F167" s="129"/>
    </row>
    <row r="168" spans="2:6" x14ac:dyDescent="0.2">
      <c r="B168" s="129"/>
      <c r="C168" s="129"/>
      <c r="D168" s="129"/>
      <c r="E168" s="129"/>
      <c r="F168" s="129"/>
    </row>
    <row r="169" spans="2:6" x14ac:dyDescent="0.2">
      <c r="B169" s="129"/>
      <c r="C169" s="129"/>
      <c r="D169" s="129"/>
      <c r="E169" s="129"/>
      <c r="F169" s="129"/>
    </row>
    <row r="170" spans="2:6" x14ac:dyDescent="0.2">
      <c r="B170" s="129"/>
      <c r="C170" s="129"/>
      <c r="D170" s="129"/>
      <c r="E170" s="129"/>
      <c r="F170" s="129"/>
    </row>
    <row r="171" spans="2:6" x14ac:dyDescent="0.2">
      <c r="B171" s="129"/>
      <c r="C171" s="129"/>
      <c r="D171" s="129"/>
      <c r="E171" s="129"/>
      <c r="F171" s="129"/>
    </row>
    <row r="172" spans="2:6" x14ac:dyDescent="0.2">
      <c r="B172" s="129"/>
      <c r="C172" s="129"/>
      <c r="D172" s="129"/>
      <c r="E172" s="129"/>
      <c r="F172" s="129"/>
    </row>
    <row r="173" spans="2:6" x14ac:dyDescent="0.2">
      <c r="B173" s="129"/>
      <c r="C173" s="129"/>
      <c r="D173" s="129"/>
      <c r="E173" s="129"/>
      <c r="F173" s="129"/>
    </row>
    <row r="174" spans="2:6" x14ac:dyDescent="0.2">
      <c r="B174" s="129"/>
      <c r="C174" s="129"/>
      <c r="D174" s="129"/>
      <c r="E174" s="129"/>
      <c r="F174" s="129"/>
    </row>
    <row r="175" spans="2:6" x14ac:dyDescent="0.2">
      <c r="B175" s="129"/>
      <c r="C175" s="129"/>
      <c r="D175" s="129"/>
      <c r="E175" s="129"/>
      <c r="F175" s="129"/>
    </row>
    <row r="176" spans="2:6" x14ac:dyDescent="0.2">
      <c r="B176" s="129"/>
      <c r="C176" s="129"/>
      <c r="D176" s="129"/>
      <c r="E176" s="129"/>
      <c r="F176" s="129"/>
    </row>
    <row r="177" spans="2:6" x14ac:dyDescent="0.2">
      <c r="B177" s="129"/>
      <c r="C177" s="129"/>
      <c r="D177" s="129"/>
      <c r="E177" s="129"/>
      <c r="F177" s="129"/>
    </row>
    <row r="178" spans="2:6" x14ac:dyDescent="0.2">
      <c r="B178" s="129"/>
      <c r="C178" s="129"/>
      <c r="D178" s="129"/>
      <c r="E178" s="129"/>
      <c r="F178" s="129"/>
    </row>
    <row r="179" spans="2:6" x14ac:dyDescent="0.2">
      <c r="B179" s="129"/>
      <c r="C179" s="129"/>
      <c r="D179" s="129"/>
      <c r="E179" s="129"/>
      <c r="F179" s="129"/>
    </row>
    <row r="180" spans="2:6" x14ac:dyDescent="0.2">
      <c r="B180" s="129"/>
      <c r="C180" s="129"/>
      <c r="D180" s="129"/>
      <c r="E180" s="129"/>
      <c r="F180" s="129"/>
    </row>
    <row r="181" spans="2:6" x14ac:dyDescent="0.2">
      <c r="B181" s="129"/>
      <c r="C181" s="129"/>
      <c r="D181" s="129"/>
      <c r="E181" s="129"/>
      <c r="F181" s="129"/>
    </row>
    <row r="182" spans="2:6" x14ac:dyDescent="0.2">
      <c r="B182" s="129"/>
      <c r="C182" s="129"/>
      <c r="D182" s="129"/>
      <c r="E182" s="129"/>
      <c r="F182" s="129"/>
    </row>
    <row r="183" spans="2:6" x14ac:dyDescent="0.2">
      <c r="B183" s="129"/>
      <c r="C183" s="129"/>
      <c r="D183" s="129"/>
      <c r="E183" s="129"/>
      <c r="F183" s="129"/>
    </row>
    <row r="184" spans="2:6" x14ac:dyDescent="0.2">
      <c r="B184" s="129"/>
      <c r="C184" s="129"/>
      <c r="D184" s="129"/>
      <c r="E184" s="129"/>
      <c r="F184" s="129"/>
    </row>
    <row r="185" spans="2:6" x14ac:dyDescent="0.2">
      <c r="B185" s="129"/>
      <c r="C185" s="129"/>
      <c r="D185" s="129"/>
      <c r="E185" s="129"/>
      <c r="F185" s="129"/>
    </row>
    <row r="186" spans="2:6" x14ac:dyDescent="0.2">
      <c r="B186" s="129"/>
      <c r="C186" s="129"/>
      <c r="D186" s="129"/>
      <c r="E186" s="129"/>
      <c r="F186" s="129"/>
    </row>
    <row r="187" spans="2:6" x14ac:dyDescent="0.2">
      <c r="B187" s="129"/>
      <c r="C187" s="129"/>
      <c r="D187" s="129"/>
      <c r="E187" s="129"/>
      <c r="F187" s="129"/>
    </row>
    <row r="188" spans="2:6" x14ac:dyDescent="0.2">
      <c r="B188" s="129"/>
      <c r="C188" s="129"/>
      <c r="D188" s="129"/>
      <c r="E188" s="129"/>
      <c r="F188" s="129"/>
    </row>
    <row r="189" spans="2:6" x14ac:dyDescent="0.2">
      <c r="B189" s="129"/>
      <c r="C189" s="129"/>
      <c r="D189" s="129"/>
      <c r="E189" s="129"/>
      <c r="F189" s="129"/>
    </row>
    <row r="190" spans="2:6" x14ac:dyDescent="0.2">
      <c r="B190" s="129"/>
      <c r="C190" s="129"/>
      <c r="D190" s="129"/>
      <c r="E190" s="129"/>
      <c r="F190" s="129"/>
    </row>
    <row r="191" spans="2:6" x14ac:dyDescent="0.2">
      <c r="B191" s="129"/>
      <c r="C191" s="129"/>
      <c r="D191" s="129"/>
      <c r="E191" s="129"/>
      <c r="F191" s="129"/>
    </row>
    <row r="192" spans="2:6" x14ac:dyDescent="0.2">
      <c r="B192" s="129"/>
      <c r="C192" s="129"/>
      <c r="D192" s="129"/>
      <c r="E192" s="129"/>
      <c r="F192" s="129"/>
    </row>
    <row r="193" spans="2:6" x14ac:dyDescent="0.2">
      <c r="B193" s="129"/>
      <c r="C193" s="129"/>
      <c r="D193" s="129"/>
      <c r="E193" s="129"/>
      <c r="F193" s="129"/>
    </row>
    <row r="194" spans="2:6" x14ac:dyDescent="0.2">
      <c r="B194" s="129"/>
      <c r="C194" s="129"/>
      <c r="D194" s="129"/>
      <c r="E194" s="129"/>
      <c r="F194" s="129"/>
    </row>
    <row r="195" spans="2:6" x14ac:dyDescent="0.2">
      <c r="B195" s="129"/>
      <c r="C195" s="129"/>
      <c r="D195" s="129"/>
      <c r="E195" s="129"/>
      <c r="F195" s="129"/>
    </row>
    <row r="196" spans="2:6" x14ac:dyDescent="0.2">
      <c r="B196" s="129"/>
      <c r="C196" s="129"/>
      <c r="D196" s="129"/>
      <c r="E196" s="129"/>
      <c r="F196" s="129"/>
    </row>
    <row r="197" spans="2:6" x14ac:dyDescent="0.2">
      <c r="B197" s="129"/>
      <c r="C197" s="129"/>
      <c r="D197" s="129"/>
      <c r="E197" s="129"/>
      <c r="F197" s="129"/>
    </row>
    <row r="198" spans="2:6" x14ac:dyDescent="0.2">
      <c r="B198" s="129"/>
      <c r="C198" s="129"/>
      <c r="D198" s="129"/>
      <c r="E198" s="129"/>
      <c r="F198" s="129"/>
    </row>
    <row r="199" spans="2:6" x14ac:dyDescent="0.2">
      <c r="B199" s="129"/>
      <c r="C199" s="129"/>
      <c r="D199" s="129"/>
      <c r="E199" s="129"/>
      <c r="F199" s="129"/>
    </row>
    <row r="200" spans="2:6" x14ac:dyDescent="0.2">
      <c r="B200" s="129"/>
      <c r="C200" s="129"/>
      <c r="D200" s="129"/>
      <c r="E200" s="129"/>
      <c r="F200" s="129"/>
    </row>
    <row r="201" spans="2:6" x14ac:dyDescent="0.2">
      <c r="B201" s="129"/>
      <c r="C201" s="129"/>
      <c r="D201" s="129"/>
      <c r="E201" s="129"/>
      <c r="F201" s="129"/>
    </row>
    <row r="202" spans="2:6" x14ac:dyDescent="0.2">
      <c r="B202" s="129"/>
      <c r="C202" s="129"/>
      <c r="D202" s="129"/>
      <c r="E202" s="129"/>
      <c r="F202" s="129"/>
    </row>
    <row r="203" spans="2:6" x14ac:dyDescent="0.2">
      <c r="B203" s="129"/>
      <c r="C203" s="129"/>
      <c r="D203" s="129"/>
      <c r="E203" s="129"/>
      <c r="F203" s="129"/>
    </row>
    <row r="204" spans="2:6" x14ac:dyDescent="0.2">
      <c r="B204" s="129"/>
      <c r="C204" s="129"/>
      <c r="D204" s="129"/>
      <c r="E204" s="129"/>
      <c r="F204" s="129"/>
    </row>
    <row r="205" spans="2:6" x14ac:dyDescent="0.2">
      <c r="B205" s="129"/>
      <c r="C205" s="129"/>
      <c r="D205" s="129"/>
      <c r="E205" s="129"/>
      <c r="F205" s="129"/>
    </row>
    <row r="206" spans="2:6" x14ac:dyDescent="0.2">
      <c r="B206" s="129"/>
      <c r="C206" s="129"/>
      <c r="D206" s="129"/>
      <c r="E206" s="129"/>
      <c r="F206" s="129"/>
    </row>
    <row r="207" spans="2:6" x14ac:dyDescent="0.2">
      <c r="B207" s="129"/>
      <c r="C207" s="129"/>
      <c r="D207" s="129"/>
      <c r="E207" s="129"/>
      <c r="F207" s="129"/>
    </row>
    <row r="208" spans="2:6" x14ac:dyDescent="0.2">
      <c r="B208" s="129"/>
      <c r="C208" s="129"/>
      <c r="D208" s="129"/>
      <c r="E208" s="129"/>
      <c r="F208" s="129"/>
    </row>
    <row r="209" spans="2:6" x14ac:dyDescent="0.2">
      <c r="B209" s="129"/>
      <c r="C209" s="129"/>
      <c r="D209" s="129"/>
      <c r="E209" s="129"/>
      <c r="F209" s="129"/>
    </row>
    <row r="210" spans="2:6" x14ac:dyDescent="0.2">
      <c r="B210" s="129"/>
      <c r="C210" s="129"/>
      <c r="D210" s="129"/>
      <c r="E210" s="129"/>
      <c r="F210" s="129"/>
    </row>
    <row r="211" spans="2:6" x14ac:dyDescent="0.2">
      <c r="B211" s="129"/>
      <c r="C211" s="129"/>
      <c r="D211" s="129"/>
      <c r="E211" s="129"/>
      <c r="F211" s="129"/>
    </row>
    <row r="212" spans="2:6" x14ac:dyDescent="0.2">
      <c r="B212" s="129"/>
      <c r="C212" s="129"/>
      <c r="D212" s="129"/>
      <c r="E212" s="129"/>
      <c r="F212" s="129"/>
    </row>
    <row r="213" spans="2:6" x14ac:dyDescent="0.2">
      <c r="B213" s="129"/>
      <c r="C213" s="129"/>
      <c r="D213" s="129"/>
      <c r="E213" s="129"/>
      <c r="F213" s="129"/>
    </row>
    <row r="214" spans="2:6" x14ac:dyDescent="0.2">
      <c r="B214" s="129"/>
      <c r="C214" s="129"/>
      <c r="D214" s="129"/>
      <c r="E214" s="129"/>
      <c r="F214" s="129"/>
    </row>
    <row r="215" spans="2:6" x14ac:dyDescent="0.2">
      <c r="B215" s="129"/>
      <c r="C215" s="129"/>
      <c r="D215" s="129"/>
      <c r="E215" s="129"/>
      <c r="F215" s="129"/>
    </row>
    <row r="216" spans="2:6" x14ac:dyDescent="0.2">
      <c r="B216" s="129"/>
      <c r="C216" s="129"/>
      <c r="D216" s="129"/>
      <c r="E216" s="129"/>
      <c r="F216" s="129"/>
    </row>
    <row r="217" spans="2:6" x14ac:dyDescent="0.2">
      <c r="B217" s="129"/>
      <c r="C217" s="129"/>
      <c r="D217" s="129"/>
      <c r="E217" s="129"/>
      <c r="F217" s="129"/>
    </row>
    <row r="218" spans="2:6" x14ac:dyDescent="0.2">
      <c r="B218" s="129"/>
      <c r="C218" s="129"/>
      <c r="D218" s="129"/>
      <c r="E218" s="129"/>
      <c r="F218" s="129"/>
    </row>
    <row r="219" spans="2:6" x14ac:dyDescent="0.2">
      <c r="B219" s="129"/>
      <c r="C219" s="129"/>
      <c r="D219" s="129"/>
      <c r="E219" s="129"/>
      <c r="F219" s="129"/>
    </row>
    <row r="220" spans="2:6" x14ac:dyDescent="0.2">
      <c r="B220" s="129"/>
      <c r="C220" s="129"/>
      <c r="D220" s="129"/>
      <c r="E220" s="129"/>
      <c r="F220" s="129"/>
    </row>
    <row r="221" spans="2:6" x14ac:dyDescent="0.2">
      <c r="B221" s="129"/>
      <c r="C221" s="129"/>
      <c r="D221" s="129"/>
      <c r="E221" s="129"/>
      <c r="F221" s="129"/>
    </row>
    <row r="222" spans="2:6" x14ac:dyDescent="0.2">
      <c r="B222" s="129"/>
      <c r="C222" s="129"/>
      <c r="D222" s="129"/>
      <c r="E222" s="129"/>
      <c r="F222" s="129"/>
    </row>
    <row r="223" spans="2:6" x14ac:dyDescent="0.2">
      <c r="B223" s="129"/>
      <c r="C223" s="129"/>
      <c r="D223" s="129"/>
      <c r="E223" s="129"/>
      <c r="F223" s="129"/>
    </row>
    <row r="224" spans="2:6" x14ac:dyDescent="0.2">
      <c r="B224" s="129"/>
      <c r="C224" s="129"/>
      <c r="D224" s="129"/>
      <c r="E224" s="129"/>
      <c r="F224" s="129"/>
    </row>
    <row r="225" spans="2:6" x14ac:dyDescent="0.2">
      <c r="B225" s="129"/>
      <c r="C225" s="129"/>
      <c r="D225" s="129"/>
      <c r="E225" s="129"/>
      <c r="F225" s="129"/>
    </row>
    <row r="226" spans="2:6" x14ac:dyDescent="0.2">
      <c r="B226" s="129"/>
      <c r="C226" s="129"/>
      <c r="D226" s="129"/>
      <c r="E226" s="129"/>
      <c r="F226" s="129"/>
    </row>
    <row r="227" spans="2:6" x14ac:dyDescent="0.2">
      <c r="B227" s="129"/>
      <c r="C227" s="129"/>
      <c r="D227" s="129"/>
      <c r="E227" s="129"/>
      <c r="F227" s="129"/>
    </row>
    <row r="228" spans="2:6" x14ac:dyDescent="0.2">
      <c r="B228" s="129"/>
      <c r="C228" s="129"/>
      <c r="D228" s="129"/>
      <c r="E228" s="129"/>
      <c r="F228" s="129"/>
    </row>
    <row r="229" spans="2:6" x14ac:dyDescent="0.2">
      <c r="B229" s="129"/>
      <c r="C229" s="129"/>
      <c r="D229" s="129"/>
      <c r="E229" s="129"/>
      <c r="F229" s="129"/>
    </row>
    <row r="230" spans="2:6" x14ac:dyDescent="0.2">
      <c r="B230" s="129"/>
      <c r="C230" s="129"/>
      <c r="D230" s="129"/>
      <c r="E230" s="129"/>
      <c r="F230" s="129"/>
    </row>
    <row r="231" spans="2:6" x14ac:dyDescent="0.2">
      <c r="B231" s="129"/>
      <c r="C231" s="129"/>
      <c r="D231" s="129"/>
      <c r="E231" s="129"/>
      <c r="F231" s="129"/>
    </row>
    <row r="232" spans="2:6" x14ac:dyDescent="0.2">
      <c r="B232" s="129"/>
      <c r="C232" s="129"/>
      <c r="D232" s="129"/>
      <c r="E232" s="129"/>
      <c r="F232" s="129"/>
    </row>
    <row r="233" spans="2:6" x14ac:dyDescent="0.2">
      <c r="B233" s="129"/>
      <c r="C233" s="129"/>
      <c r="D233" s="129"/>
      <c r="E233" s="129"/>
      <c r="F233" s="129"/>
    </row>
    <row r="234" spans="2:6" x14ac:dyDescent="0.2">
      <c r="B234" s="129"/>
      <c r="C234" s="129"/>
      <c r="D234" s="129"/>
      <c r="E234" s="129"/>
      <c r="F234" s="129"/>
    </row>
    <row r="235" spans="2:6" x14ac:dyDescent="0.2">
      <c r="B235" s="129"/>
      <c r="C235" s="129"/>
      <c r="D235" s="129"/>
      <c r="E235" s="129"/>
      <c r="F235" s="129"/>
    </row>
    <row r="236" spans="2:6" x14ac:dyDescent="0.2">
      <c r="B236" s="129"/>
      <c r="C236" s="129"/>
      <c r="D236" s="129"/>
      <c r="E236" s="129"/>
      <c r="F236" s="129"/>
    </row>
    <row r="237" spans="2:6" x14ac:dyDescent="0.2">
      <c r="B237" s="129"/>
      <c r="C237" s="129"/>
      <c r="D237" s="129"/>
      <c r="E237" s="129"/>
      <c r="F237" s="129"/>
    </row>
    <row r="238" spans="2:6" x14ac:dyDescent="0.2">
      <c r="B238" s="129"/>
      <c r="C238" s="129"/>
      <c r="D238" s="129"/>
      <c r="E238" s="129"/>
      <c r="F238" s="129"/>
    </row>
    <row r="239" spans="2:6" x14ac:dyDescent="0.2">
      <c r="B239" s="129"/>
      <c r="C239" s="129"/>
      <c r="D239" s="129"/>
      <c r="E239" s="129"/>
      <c r="F239" s="129"/>
    </row>
    <row r="240" spans="2:6" x14ac:dyDescent="0.2">
      <c r="B240" s="129"/>
      <c r="C240" s="129"/>
      <c r="D240" s="129"/>
      <c r="E240" s="129"/>
      <c r="F240" s="129"/>
    </row>
    <row r="241" spans="2:6" x14ac:dyDescent="0.2">
      <c r="B241" s="129"/>
      <c r="C241" s="129"/>
      <c r="D241" s="129"/>
      <c r="E241" s="129"/>
      <c r="F241" s="129"/>
    </row>
    <row r="242" spans="2:6" x14ac:dyDescent="0.2">
      <c r="B242" s="129"/>
      <c r="C242" s="129"/>
      <c r="D242" s="129"/>
      <c r="E242" s="129"/>
      <c r="F242" s="129"/>
    </row>
    <row r="243" spans="2:6" x14ac:dyDescent="0.2">
      <c r="B243" s="129"/>
      <c r="C243" s="129"/>
      <c r="D243" s="129"/>
      <c r="E243" s="129"/>
      <c r="F243" s="129"/>
    </row>
    <row r="244" spans="2:6" x14ac:dyDescent="0.2">
      <c r="B244" s="129"/>
      <c r="C244" s="129"/>
      <c r="D244" s="129"/>
      <c r="E244" s="129"/>
      <c r="F244" s="129"/>
    </row>
    <row r="245" spans="2:6" x14ac:dyDescent="0.2">
      <c r="B245" s="129"/>
      <c r="C245" s="129"/>
      <c r="D245" s="129"/>
      <c r="E245" s="129"/>
      <c r="F245" s="129"/>
    </row>
    <row r="246" spans="2:6" x14ac:dyDescent="0.2">
      <c r="B246" s="129"/>
      <c r="C246" s="129"/>
      <c r="D246" s="129"/>
      <c r="E246" s="129"/>
      <c r="F246" s="129"/>
    </row>
    <row r="247" spans="2:6" x14ac:dyDescent="0.2">
      <c r="B247" s="129"/>
      <c r="C247" s="129"/>
      <c r="D247" s="129"/>
      <c r="E247" s="129"/>
      <c r="F247" s="129"/>
    </row>
    <row r="248" spans="2:6" x14ac:dyDescent="0.2">
      <c r="B248" s="129"/>
      <c r="C248" s="129"/>
      <c r="D248" s="129"/>
      <c r="E248" s="129"/>
      <c r="F248" s="129"/>
    </row>
    <row r="249" spans="2:6" x14ac:dyDescent="0.2">
      <c r="B249" s="129"/>
      <c r="C249" s="129"/>
      <c r="D249" s="129"/>
      <c r="E249" s="129"/>
      <c r="F249" s="129"/>
    </row>
    <row r="250" spans="2:6" x14ac:dyDescent="0.2">
      <c r="B250" s="129"/>
      <c r="C250" s="129"/>
      <c r="D250" s="129"/>
      <c r="E250" s="129"/>
      <c r="F250" s="129"/>
    </row>
    <row r="251" spans="2:6" x14ac:dyDescent="0.2">
      <c r="B251" s="129"/>
      <c r="C251" s="129"/>
      <c r="D251" s="129"/>
      <c r="E251" s="129"/>
      <c r="F251" s="129"/>
    </row>
    <row r="252" spans="2:6" x14ac:dyDescent="0.2">
      <c r="B252" s="129"/>
      <c r="C252" s="129"/>
      <c r="D252" s="129"/>
      <c r="E252" s="129"/>
      <c r="F252" s="129"/>
    </row>
    <row r="253" spans="2:6" x14ac:dyDescent="0.2">
      <c r="B253" s="129"/>
      <c r="C253" s="129"/>
      <c r="D253" s="129"/>
      <c r="E253" s="129"/>
      <c r="F253" s="129"/>
    </row>
    <row r="254" spans="2:6" x14ac:dyDescent="0.2">
      <c r="B254" s="129"/>
      <c r="C254" s="129"/>
      <c r="D254" s="129"/>
      <c r="E254" s="129"/>
      <c r="F254" s="129"/>
    </row>
    <row r="255" spans="2:6" x14ac:dyDescent="0.2">
      <c r="B255" s="129"/>
      <c r="C255" s="129"/>
      <c r="D255" s="129"/>
      <c r="E255" s="129"/>
      <c r="F255" s="129"/>
    </row>
    <row r="256" spans="2:6" x14ac:dyDescent="0.2">
      <c r="B256" s="129"/>
      <c r="C256" s="129"/>
      <c r="D256" s="129"/>
      <c r="E256" s="129"/>
      <c r="F256" s="129"/>
    </row>
    <row r="257" spans="2:6" x14ac:dyDescent="0.2">
      <c r="B257" s="129"/>
      <c r="C257" s="129"/>
      <c r="D257" s="129"/>
      <c r="E257" s="129"/>
      <c r="F257" s="129"/>
    </row>
    <row r="258" spans="2:6" x14ac:dyDescent="0.2">
      <c r="B258" s="129"/>
      <c r="C258" s="129"/>
      <c r="D258" s="129"/>
      <c r="E258" s="129"/>
      <c r="F258" s="129"/>
    </row>
    <row r="259" spans="2:6" x14ac:dyDescent="0.2">
      <c r="B259" s="129"/>
      <c r="C259" s="129"/>
      <c r="D259" s="129"/>
      <c r="E259" s="129"/>
      <c r="F259" s="129"/>
    </row>
    <row r="260" spans="2:6" x14ac:dyDescent="0.2">
      <c r="B260" s="129"/>
      <c r="C260" s="129"/>
      <c r="D260" s="129"/>
      <c r="E260" s="129"/>
      <c r="F260" s="129"/>
    </row>
    <row r="261" spans="2:6" x14ac:dyDescent="0.2">
      <c r="B261" s="129"/>
      <c r="C261" s="129"/>
      <c r="D261" s="129"/>
      <c r="E261" s="129"/>
      <c r="F261" s="129"/>
    </row>
    <row r="262" spans="2:6" x14ac:dyDescent="0.2">
      <c r="B262" s="129"/>
      <c r="C262" s="129"/>
      <c r="D262" s="129"/>
      <c r="E262" s="129"/>
      <c r="F262" s="129"/>
    </row>
    <row r="263" spans="2:6" x14ac:dyDescent="0.2">
      <c r="B263" s="129"/>
      <c r="C263" s="129"/>
      <c r="D263" s="129"/>
      <c r="E263" s="129"/>
      <c r="F263" s="129"/>
    </row>
    <row r="264" spans="2:6" x14ac:dyDescent="0.2">
      <c r="B264" s="129"/>
      <c r="C264" s="129"/>
      <c r="D264" s="129"/>
      <c r="E264" s="129"/>
      <c r="F264" s="129"/>
    </row>
    <row r="265" spans="2:6" x14ac:dyDescent="0.2">
      <c r="B265" s="129"/>
      <c r="C265" s="129"/>
      <c r="D265" s="129"/>
      <c r="E265" s="129"/>
      <c r="F265" s="129"/>
    </row>
    <row r="266" spans="2:6" x14ac:dyDescent="0.2">
      <c r="B266" s="129"/>
      <c r="C266" s="129"/>
      <c r="D266" s="129"/>
      <c r="E266" s="129"/>
      <c r="F266" s="129"/>
    </row>
    <row r="267" spans="2:6" x14ac:dyDescent="0.2">
      <c r="B267" s="129"/>
      <c r="C267" s="129"/>
      <c r="D267" s="129"/>
      <c r="E267" s="129"/>
      <c r="F267" s="129"/>
    </row>
    <row r="268" spans="2:6" x14ac:dyDescent="0.2">
      <c r="B268" s="129"/>
      <c r="C268" s="129"/>
      <c r="D268" s="129"/>
      <c r="E268" s="129"/>
      <c r="F268" s="129"/>
    </row>
    <row r="269" spans="2:6" x14ac:dyDescent="0.2">
      <c r="B269" s="129"/>
      <c r="C269" s="129"/>
      <c r="D269" s="129"/>
      <c r="E269" s="129"/>
      <c r="F269" s="129"/>
    </row>
    <row r="270" spans="2:6" x14ac:dyDescent="0.2">
      <c r="B270" s="129"/>
      <c r="C270" s="129"/>
      <c r="D270" s="129"/>
      <c r="E270" s="129"/>
      <c r="F270" s="129"/>
    </row>
    <row r="271" spans="2:6" x14ac:dyDescent="0.2">
      <c r="B271" s="129"/>
      <c r="C271" s="129"/>
      <c r="D271" s="129"/>
      <c r="E271" s="129"/>
      <c r="F271" s="129"/>
    </row>
    <row r="272" spans="2:6" x14ac:dyDescent="0.2">
      <c r="B272" s="129"/>
      <c r="C272" s="129"/>
      <c r="D272" s="129"/>
      <c r="E272" s="129"/>
      <c r="F272" s="129"/>
    </row>
    <row r="273" spans="2:6" x14ac:dyDescent="0.2">
      <c r="B273" s="129"/>
      <c r="C273" s="129"/>
      <c r="D273" s="129"/>
      <c r="E273" s="129"/>
      <c r="F273" s="129"/>
    </row>
    <row r="274" spans="2:6" x14ac:dyDescent="0.2">
      <c r="B274" s="129"/>
      <c r="C274" s="129"/>
      <c r="D274" s="129"/>
      <c r="E274" s="129"/>
      <c r="F274" s="129"/>
    </row>
    <row r="275" spans="2:6" x14ac:dyDescent="0.2">
      <c r="B275" s="129"/>
      <c r="C275" s="129"/>
      <c r="D275" s="129"/>
      <c r="E275" s="129"/>
      <c r="F275" s="129"/>
    </row>
    <row r="276" spans="2:6" x14ac:dyDescent="0.2">
      <c r="B276" s="129"/>
      <c r="C276" s="129"/>
      <c r="D276" s="129"/>
      <c r="E276" s="129"/>
      <c r="F276" s="129"/>
    </row>
    <row r="277" spans="2:6" x14ac:dyDescent="0.2">
      <c r="B277" s="129"/>
      <c r="C277" s="129"/>
      <c r="D277" s="129"/>
      <c r="E277" s="129"/>
      <c r="F277" s="129"/>
    </row>
    <row r="278" spans="2:6" x14ac:dyDescent="0.2">
      <c r="B278" s="129"/>
      <c r="C278" s="129"/>
      <c r="D278" s="129"/>
      <c r="E278" s="129"/>
      <c r="F278" s="129"/>
    </row>
    <row r="279" spans="2:6" x14ac:dyDescent="0.2">
      <c r="B279" s="129"/>
      <c r="C279" s="129"/>
      <c r="D279" s="129"/>
      <c r="E279" s="129"/>
      <c r="F279" s="129"/>
    </row>
    <row r="280" spans="2:6" x14ac:dyDescent="0.2">
      <c r="B280" s="129"/>
      <c r="C280" s="129"/>
      <c r="D280" s="129"/>
      <c r="E280" s="129"/>
      <c r="F280" s="129"/>
    </row>
    <row r="281" spans="2:6" x14ac:dyDescent="0.2">
      <c r="B281" s="129"/>
      <c r="C281" s="129"/>
      <c r="D281" s="129"/>
      <c r="E281" s="129"/>
      <c r="F281" s="129"/>
    </row>
    <row r="282" spans="2:6" x14ac:dyDescent="0.2">
      <c r="B282" s="129"/>
      <c r="C282" s="129"/>
      <c r="D282" s="129"/>
      <c r="E282" s="129"/>
      <c r="F282" s="129"/>
    </row>
    <row r="283" spans="2:6" x14ac:dyDescent="0.2">
      <c r="B283" s="129"/>
      <c r="C283" s="129"/>
      <c r="D283" s="129"/>
      <c r="E283" s="129"/>
      <c r="F283" s="129"/>
    </row>
    <row r="284" spans="2:6" x14ac:dyDescent="0.2">
      <c r="B284" s="129"/>
      <c r="C284" s="129"/>
      <c r="D284" s="129"/>
      <c r="E284" s="129"/>
      <c r="F284" s="129"/>
    </row>
    <row r="285" spans="2:6" x14ac:dyDescent="0.2">
      <c r="B285" s="129"/>
      <c r="C285" s="129"/>
      <c r="D285" s="129"/>
      <c r="E285" s="129"/>
      <c r="F285" s="129"/>
    </row>
    <row r="286" spans="2:6" x14ac:dyDescent="0.2">
      <c r="B286" s="129"/>
      <c r="C286" s="129"/>
      <c r="D286" s="129"/>
      <c r="E286" s="129"/>
      <c r="F286" s="129"/>
    </row>
    <row r="287" spans="2:6" x14ac:dyDescent="0.2">
      <c r="B287" s="129"/>
      <c r="C287" s="129"/>
      <c r="D287" s="129"/>
      <c r="E287" s="129"/>
      <c r="F287" s="129"/>
    </row>
    <row r="288" spans="2:6" x14ac:dyDescent="0.2">
      <c r="B288" s="129"/>
      <c r="C288" s="129"/>
      <c r="D288" s="129"/>
      <c r="E288" s="129"/>
      <c r="F288" s="129"/>
    </row>
    <row r="289" spans="2:6" x14ac:dyDescent="0.2">
      <c r="B289" s="129"/>
      <c r="C289" s="129"/>
      <c r="D289" s="129"/>
      <c r="E289" s="129"/>
      <c r="F289" s="129"/>
    </row>
    <row r="290" spans="2:6" x14ac:dyDescent="0.2">
      <c r="B290" s="129"/>
      <c r="C290" s="129"/>
      <c r="D290" s="129"/>
      <c r="E290" s="129"/>
      <c r="F290" s="129"/>
    </row>
    <row r="291" spans="2:6" x14ac:dyDescent="0.2">
      <c r="B291" s="129"/>
      <c r="C291" s="129"/>
      <c r="D291" s="129"/>
      <c r="E291" s="129"/>
      <c r="F291" s="129"/>
    </row>
    <row r="292" spans="2:6" x14ac:dyDescent="0.2">
      <c r="B292" s="129"/>
      <c r="C292" s="129"/>
      <c r="D292" s="129"/>
      <c r="E292" s="129"/>
      <c r="F292" s="129"/>
    </row>
    <row r="293" spans="2:6" x14ac:dyDescent="0.2">
      <c r="B293" s="129"/>
      <c r="C293" s="129"/>
      <c r="D293" s="129"/>
      <c r="E293" s="129"/>
      <c r="F293" s="129"/>
    </row>
    <row r="294" spans="2:6" x14ac:dyDescent="0.2">
      <c r="B294" s="129"/>
      <c r="C294" s="129"/>
      <c r="D294" s="129"/>
      <c r="E294" s="129"/>
      <c r="F294" s="129"/>
    </row>
    <row r="295" spans="2:6" x14ac:dyDescent="0.2">
      <c r="B295" s="129"/>
      <c r="C295" s="129"/>
      <c r="D295" s="129"/>
      <c r="E295" s="129"/>
      <c r="F295" s="129"/>
    </row>
    <row r="296" spans="2:6" x14ac:dyDescent="0.2">
      <c r="B296" s="129"/>
      <c r="C296" s="129"/>
      <c r="D296" s="129"/>
      <c r="E296" s="129"/>
      <c r="F296" s="129"/>
    </row>
    <row r="297" spans="2:6" x14ac:dyDescent="0.2">
      <c r="B297" s="129"/>
      <c r="C297" s="129"/>
      <c r="D297" s="129"/>
      <c r="E297" s="129"/>
      <c r="F297" s="129"/>
    </row>
    <row r="298" spans="2:6" x14ac:dyDescent="0.2">
      <c r="B298" s="129"/>
      <c r="C298" s="129"/>
      <c r="D298" s="129"/>
      <c r="E298" s="129"/>
      <c r="F298" s="129"/>
    </row>
    <row r="299" spans="2:6" x14ac:dyDescent="0.2">
      <c r="B299" s="129"/>
      <c r="C299" s="129"/>
      <c r="D299" s="129"/>
      <c r="E299" s="129"/>
      <c r="F299" s="129"/>
    </row>
    <row r="300" spans="2:6" x14ac:dyDescent="0.2">
      <c r="B300" s="129"/>
      <c r="C300" s="129"/>
      <c r="D300" s="129"/>
      <c r="E300" s="129"/>
      <c r="F300" s="129"/>
    </row>
    <row r="301" spans="2:6" x14ac:dyDescent="0.2">
      <c r="B301" s="129"/>
      <c r="C301" s="129"/>
      <c r="D301" s="129"/>
      <c r="E301" s="129"/>
      <c r="F301" s="129"/>
    </row>
    <row r="302" spans="2:6" x14ac:dyDescent="0.2">
      <c r="B302" s="129"/>
      <c r="C302" s="129"/>
      <c r="D302" s="129"/>
      <c r="E302" s="129"/>
      <c r="F302" s="129"/>
    </row>
    <row r="303" spans="2:6" x14ac:dyDescent="0.2">
      <c r="B303" s="129"/>
      <c r="C303" s="129"/>
      <c r="D303" s="129"/>
      <c r="E303" s="129"/>
      <c r="F303" s="129"/>
    </row>
    <row r="304" spans="2:6" x14ac:dyDescent="0.2">
      <c r="B304" s="129"/>
      <c r="C304" s="129"/>
      <c r="D304" s="129"/>
      <c r="E304" s="129"/>
      <c r="F304" s="129"/>
    </row>
    <row r="305" spans="2:6" x14ac:dyDescent="0.2">
      <c r="B305" s="129"/>
      <c r="C305" s="129"/>
      <c r="D305" s="129"/>
      <c r="E305" s="129"/>
      <c r="F305" s="129"/>
    </row>
    <row r="306" spans="2:6" x14ac:dyDescent="0.2">
      <c r="B306" s="129"/>
      <c r="C306" s="129"/>
      <c r="D306" s="129"/>
      <c r="E306" s="129"/>
      <c r="F306" s="129"/>
    </row>
    <row r="307" spans="2:6" x14ac:dyDescent="0.2">
      <c r="B307" s="129"/>
      <c r="C307" s="129"/>
      <c r="D307" s="129"/>
      <c r="E307" s="129"/>
      <c r="F307" s="129"/>
    </row>
    <row r="308" spans="2:6" x14ac:dyDescent="0.2">
      <c r="B308" s="129"/>
      <c r="C308" s="129"/>
      <c r="D308" s="129"/>
      <c r="E308" s="129"/>
      <c r="F308" s="129"/>
    </row>
    <row r="309" spans="2:6" x14ac:dyDescent="0.2">
      <c r="B309" s="129"/>
      <c r="C309" s="129"/>
      <c r="D309" s="129"/>
      <c r="E309" s="129"/>
      <c r="F309" s="129"/>
    </row>
    <row r="310" spans="2:6" x14ac:dyDescent="0.2">
      <c r="B310" s="129"/>
      <c r="C310" s="129"/>
      <c r="D310" s="129"/>
      <c r="E310" s="129"/>
      <c r="F310" s="129"/>
    </row>
    <row r="311" spans="2:6" x14ac:dyDescent="0.2">
      <c r="B311" s="129"/>
      <c r="C311" s="129"/>
      <c r="D311" s="129"/>
      <c r="E311" s="129"/>
      <c r="F311" s="129"/>
    </row>
    <row r="312" spans="2:6" x14ac:dyDescent="0.2">
      <c r="B312" s="129"/>
      <c r="C312" s="129"/>
      <c r="D312" s="129"/>
      <c r="E312" s="129"/>
      <c r="F312" s="129"/>
    </row>
    <row r="313" spans="2:6" x14ac:dyDescent="0.2">
      <c r="B313" s="129"/>
      <c r="C313" s="129"/>
      <c r="D313" s="129"/>
      <c r="E313" s="129"/>
      <c r="F313" s="129"/>
    </row>
    <row r="314" spans="2:6" x14ac:dyDescent="0.2">
      <c r="B314" s="129"/>
      <c r="C314" s="129"/>
      <c r="D314" s="129"/>
      <c r="E314" s="129"/>
      <c r="F314" s="129"/>
    </row>
    <row r="315" spans="2:6" x14ac:dyDescent="0.2">
      <c r="B315" s="129"/>
      <c r="C315" s="129"/>
      <c r="D315" s="129"/>
      <c r="E315" s="129"/>
      <c r="F315" s="129"/>
    </row>
    <row r="316" spans="2:6" x14ac:dyDescent="0.2">
      <c r="B316" s="129"/>
      <c r="C316" s="129"/>
      <c r="D316" s="129"/>
      <c r="E316" s="129"/>
      <c r="F316" s="129"/>
    </row>
    <row r="317" spans="2:6" x14ac:dyDescent="0.2">
      <c r="B317" s="129"/>
      <c r="C317" s="129"/>
      <c r="D317" s="129"/>
      <c r="E317" s="129"/>
      <c r="F317" s="129"/>
    </row>
    <row r="318" spans="2:6" x14ac:dyDescent="0.2">
      <c r="B318" s="129"/>
      <c r="C318" s="129"/>
      <c r="D318" s="129"/>
      <c r="E318" s="129"/>
      <c r="F318" s="129"/>
    </row>
    <row r="319" spans="2:6" x14ac:dyDescent="0.2">
      <c r="B319" s="129"/>
      <c r="C319" s="129"/>
      <c r="D319" s="129"/>
      <c r="E319" s="129"/>
      <c r="F319" s="129"/>
    </row>
    <row r="320" spans="2:6" x14ac:dyDescent="0.2">
      <c r="B320" s="129"/>
      <c r="C320" s="129"/>
      <c r="D320" s="129"/>
      <c r="E320" s="129"/>
      <c r="F320" s="129"/>
    </row>
    <row r="321" spans="2:6" x14ac:dyDescent="0.2">
      <c r="B321" s="129"/>
      <c r="C321" s="129"/>
      <c r="D321" s="129"/>
      <c r="E321" s="129"/>
      <c r="F321" s="129"/>
    </row>
    <row r="322" spans="2:6" x14ac:dyDescent="0.2">
      <c r="B322" s="129"/>
      <c r="C322" s="129"/>
      <c r="D322" s="129"/>
      <c r="E322" s="129"/>
      <c r="F322" s="129"/>
    </row>
    <row r="323" spans="2:6" x14ac:dyDescent="0.2">
      <c r="B323" s="129"/>
      <c r="C323" s="129"/>
      <c r="D323" s="129"/>
      <c r="E323" s="129"/>
      <c r="F323" s="129"/>
    </row>
    <row r="324" spans="2:6" x14ac:dyDescent="0.2">
      <c r="B324" s="129"/>
      <c r="C324" s="129"/>
      <c r="D324" s="129"/>
      <c r="E324" s="129"/>
      <c r="F324" s="129"/>
    </row>
    <row r="325" spans="2:6" x14ac:dyDescent="0.2">
      <c r="B325" s="129"/>
      <c r="C325" s="129"/>
      <c r="D325" s="129"/>
      <c r="E325" s="129"/>
      <c r="F325" s="129"/>
    </row>
    <row r="326" spans="2:6" x14ac:dyDescent="0.2">
      <c r="B326" s="129"/>
      <c r="C326" s="129"/>
      <c r="D326" s="129"/>
      <c r="E326" s="129"/>
      <c r="F326" s="129"/>
    </row>
    <row r="327" spans="2:6" x14ac:dyDescent="0.2">
      <c r="B327" s="129"/>
      <c r="C327" s="129"/>
      <c r="D327" s="129"/>
      <c r="E327" s="129"/>
      <c r="F327" s="129"/>
    </row>
    <row r="328" spans="2:6" x14ac:dyDescent="0.2">
      <c r="B328" s="129"/>
      <c r="C328" s="129"/>
      <c r="D328" s="129"/>
      <c r="E328" s="129"/>
      <c r="F328" s="129"/>
    </row>
    <row r="329" spans="2:6" x14ac:dyDescent="0.2">
      <c r="B329" s="129"/>
      <c r="C329" s="129"/>
      <c r="D329" s="129"/>
      <c r="E329" s="129"/>
      <c r="F329" s="129"/>
    </row>
    <row r="330" spans="2:6" x14ac:dyDescent="0.2">
      <c r="B330" s="129"/>
      <c r="C330" s="129"/>
      <c r="D330" s="129"/>
      <c r="E330" s="129"/>
      <c r="F330" s="129"/>
    </row>
    <row r="331" spans="2:6" x14ac:dyDescent="0.2">
      <c r="B331" s="129"/>
      <c r="C331" s="129"/>
      <c r="D331" s="129"/>
      <c r="E331" s="129"/>
      <c r="F331" s="129"/>
    </row>
    <row r="332" spans="2:6" x14ac:dyDescent="0.2">
      <c r="B332" s="129"/>
      <c r="C332" s="129"/>
      <c r="D332" s="129"/>
      <c r="E332" s="129"/>
      <c r="F332" s="129"/>
    </row>
    <row r="333" spans="2:6" x14ac:dyDescent="0.2">
      <c r="B333" s="129"/>
      <c r="C333" s="129"/>
      <c r="D333" s="129"/>
      <c r="E333" s="129"/>
      <c r="F333" s="129"/>
    </row>
    <row r="334" spans="2:6" x14ac:dyDescent="0.2">
      <c r="B334" s="129"/>
      <c r="C334" s="129"/>
      <c r="D334" s="129"/>
      <c r="E334" s="129"/>
      <c r="F334" s="129"/>
    </row>
    <row r="335" spans="2:6" x14ac:dyDescent="0.2">
      <c r="B335" s="129"/>
      <c r="C335" s="129"/>
      <c r="D335" s="129"/>
      <c r="E335" s="129"/>
      <c r="F335" s="129"/>
    </row>
    <row r="336" spans="2:6" x14ac:dyDescent="0.2">
      <c r="B336" s="129"/>
      <c r="C336" s="129"/>
      <c r="D336" s="129"/>
      <c r="E336" s="129"/>
      <c r="F336" s="129"/>
    </row>
    <row r="337" spans="2:6" x14ac:dyDescent="0.2">
      <c r="B337" s="129"/>
      <c r="C337" s="129"/>
      <c r="D337" s="129"/>
      <c r="E337" s="129"/>
      <c r="F337" s="129"/>
    </row>
    <row r="338" spans="2:6" x14ac:dyDescent="0.2">
      <c r="B338" s="129"/>
      <c r="C338" s="129"/>
      <c r="D338" s="129"/>
      <c r="E338" s="129"/>
      <c r="F338" s="129"/>
    </row>
    <row r="339" spans="2:6" x14ac:dyDescent="0.2">
      <c r="B339" s="129"/>
      <c r="C339" s="129"/>
      <c r="D339" s="129"/>
      <c r="E339" s="129"/>
      <c r="F339" s="129"/>
    </row>
    <row r="340" spans="2:6" x14ac:dyDescent="0.2">
      <c r="B340" s="129"/>
      <c r="C340" s="129"/>
      <c r="D340" s="129"/>
      <c r="E340" s="129"/>
      <c r="F340" s="129"/>
    </row>
    <row r="341" spans="2:6" x14ac:dyDescent="0.2">
      <c r="B341" s="129"/>
      <c r="C341" s="129"/>
      <c r="D341" s="129"/>
      <c r="E341" s="129"/>
      <c r="F341" s="129"/>
    </row>
    <row r="342" spans="2:6" x14ac:dyDescent="0.2">
      <c r="B342" s="129"/>
      <c r="C342" s="129"/>
      <c r="D342" s="129"/>
      <c r="E342" s="129"/>
      <c r="F342" s="129"/>
    </row>
    <row r="343" spans="2:6" x14ac:dyDescent="0.2">
      <c r="B343" s="129"/>
      <c r="C343" s="129"/>
      <c r="D343" s="129"/>
      <c r="E343" s="129"/>
      <c r="F343" s="129"/>
    </row>
    <row r="344" spans="2:6" x14ac:dyDescent="0.2">
      <c r="B344" s="129"/>
      <c r="C344" s="129"/>
      <c r="D344" s="129"/>
      <c r="E344" s="129"/>
      <c r="F344" s="129"/>
    </row>
    <row r="345" spans="2:6" x14ac:dyDescent="0.2">
      <c r="B345" s="129"/>
      <c r="C345" s="129"/>
      <c r="D345" s="129"/>
      <c r="E345" s="129"/>
      <c r="F345" s="129"/>
    </row>
    <row r="346" spans="2:6" x14ac:dyDescent="0.2">
      <c r="B346" s="129"/>
      <c r="C346" s="129"/>
      <c r="D346" s="129"/>
      <c r="E346" s="129"/>
      <c r="F346" s="129"/>
    </row>
    <row r="347" spans="2:6" x14ac:dyDescent="0.2">
      <c r="B347" s="129"/>
      <c r="C347" s="129"/>
      <c r="D347" s="129"/>
      <c r="E347" s="129"/>
      <c r="F347" s="129"/>
    </row>
    <row r="348" spans="2:6" x14ac:dyDescent="0.2">
      <c r="B348" s="129"/>
      <c r="C348" s="129"/>
      <c r="D348" s="129"/>
      <c r="E348" s="129"/>
      <c r="F348" s="129"/>
    </row>
    <row r="349" spans="2:6" x14ac:dyDescent="0.2">
      <c r="B349" s="129"/>
      <c r="C349" s="129"/>
      <c r="D349" s="129"/>
      <c r="E349" s="129"/>
      <c r="F349" s="129"/>
    </row>
    <row r="350" spans="2:6" x14ac:dyDescent="0.2">
      <c r="B350" s="129"/>
      <c r="C350" s="129"/>
      <c r="D350" s="129"/>
      <c r="E350" s="129"/>
      <c r="F350" s="129"/>
    </row>
    <row r="351" spans="2:6" x14ac:dyDescent="0.2">
      <c r="B351" s="129"/>
      <c r="C351" s="129"/>
      <c r="D351" s="129"/>
      <c r="E351" s="129"/>
      <c r="F351" s="129"/>
    </row>
    <row r="352" spans="2:6" x14ac:dyDescent="0.2">
      <c r="B352" s="129"/>
      <c r="C352" s="129"/>
      <c r="D352" s="129"/>
      <c r="E352" s="129"/>
      <c r="F352" s="129"/>
    </row>
    <row r="353" spans="2:6" x14ac:dyDescent="0.2">
      <c r="B353" s="129"/>
      <c r="C353" s="129"/>
      <c r="D353" s="129"/>
      <c r="E353" s="129"/>
      <c r="F353" s="129"/>
    </row>
    <row r="354" spans="2:6" x14ac:dyDescent="0.2">
      <c r="B354" s="129"/>
      <c r="C354" s="129"/>
      <c r="D354" s="129"/>
      <c r="E354" s="129"/>
      <c r="F354" s="129"/>
    </row>
    <row r="355" spans="2:6" x14ac:dyDescent="0.2">
      <c r="B355" s="129"/>
      <c r="C355" s="129"/>
      <c r="D355" s="129"/>
      <c r="E355" s="129"/>
      <c r="F355" s="129"/>
    </row>
    <row r="356" spans="2:6" x14ac:dyDescent="0.2">
      <c r="B356" s="129"/>
      <c r="C356" s="129"/>
      <c r="D356" s="129"/>
      <c r="E356" s="129"/>
      <c r="F356" s="129"/>
    </row>
    <row r="357" spans="2:6" x14ac:dyDescent="0.2">
      <c r="B357" s="129"/>
      <c r="C357" s="129"/>
      <c r="D357" s="129"/>
      <c r="E357" s="129"/>
      <c r="F357" s="129"/>
    </row>
    <row r="358" spans="2:6" x14ac:dyDescent="0.2">
      <c r="B358" s="129"/>
      <c r="C358" s="129"/>
      <c r="D358" s="129"/>
      <c r="E358" s="129"/>
      <c r="F358" s="129"/>
    </row>
    <row r="359" spans="2:6" x14ac:dyDescent="0.2">
      <c r="B359" s="129"/>
      <c r="C359" s="129"/>
      <c r="D359" s="129"/>
      <c r="E359" s="129"/>
      <c r="F359" s="129"/>
    </row>
    <row r="360" spans="2:6" x14ac:dyDescent="0.2">
      <c r="B360" s="129"/>
      <c r="C360" s="129"/>
      <c r="D360" s="129"/>
      <c r="E360" s="129"/>
      <c r="F360" s="129"/>
    </row>
    <row r="361" spans="2:6" x14ac:dyDescent="0.2">
      <c r="B361" s="129"/>
      <c r="C361" s="129"/>
      <c r="D361" s="129"/>
      <c r="E361" s="129"/>
      <c r="F361" s="129"/>
    </row>
    <row r="362" spans="2:6" x14ac:dyDescent="0.2">
      <c r="B362" s="129"/>
      <c r="C362" s="129"/>
      <c r="D362" s="129"/>
      <c r="E362" s="129"/>
      <c r="F362" s="129"/>
    </row>
    <row r="363" spans="2:6" x14ac:dyDescent="0.2">
      <c r="B363" s="129"/>
      <c r="C363" s="129"/>
      <c r="D363" s="129"/>
      <c r="E363" s="129"/>
      <c r="F363" s="129"/>
    </row>
    <row r="364" spans="2:6" x14ac:dyDescent="0.2">
      <c r="B364" s="129"/>
      <c r="C364" s="129"/>
      <c r="D364" s="129"/>
      <c r="E364" s="129"/>
      <c r="F364" s="129"/>
    </row>
    <row r="365" spans="2:6" x14ac:dyDescent="0.2">
      <c r="B365" s="129"/>
      <c r="C365" s="129"/>
      <c r="D365" s="129"/>
      <c r="E365" s="129"/>
      <c r="F365" s="129"/>
    </row>
    <row r="366" spans="2:6" x14ac:dyDescent="0.2">
      <c r="B366" s="129"/>
      <c r="C366" s="129"/>
      <c r="D366" s="129"/>
      <c r="E366" s="129"/>
      <c r="F366" s="129"/>
    </row>
    <row r="367" spans="2:6" x14ac:dyDescent="0.2">
      <c r="B367" s="129"/>
      <c r="C367" s="129"/>
      <c r="D367" s="129"/>
      <c r="E367" s="129"/>
      <c r="F367" s="129"/>
    </row>
    <row r="368" spans="2:6" x14ac:dyDescent="0.2">
      <c r="B368" s="129"/>
      <c r="C368" s="129"/>
      <c r="D368" s="129"/>
      <c r="E368" s="129"/>
      <c r="F368" s="129"/>
    </row>
    <row r="369" spans="2:6" x14ac:dyDescent="0.2">
      <c r="B369" s="129"/>
      <c r="C369" s="129"/>
      <c r="D369" s="129"/>
      <c r="E369" s="129"/>
      <c r="F369" s="129"/>
    </row>
    <row r="370" spans="2:6" x14ac:dyDescent="0.2">
      <c r="B370" s="129"/>
      <c r="C370" s="129"/>
      <c r="D370" s="129"/>
      <c r="E370" s="129"/>
      <c r="F370" s="129"/>
    </row>
    <row r="371" spans="2:6" x14ac:dyDescent="0.2">
      <c r="B371" s="129"/>
      <c r="C371" s="129"/>
      <c r="D371" s="129"/>
      <c r="E371" s="129"/>
      <c r="F371" s="129"/>
    </row>
    <row r="372" spans="2:6" x14ac:dyDescent="0.2">
      <c r="B372" s="129"/>
      <c r="C372" s="129"/>
      <c r="D372" s="129"/>
      <c r="E372" s="129"/>
      <c r="F372" s="129"/>
    </row>
    <row r="373" spans="2:6" x14ac:dyDescent="0.2">
      <c r="B373" s="129"/>
      <c r="C373" s="129"/>
      <c r="D373" s="129"/>
      <c r="E373" s="129"/>
      <c r="F373" s="129"/>
    </row>
    <row r="374" spans="2:6" x14ac:dyDescent="0.2">
      <c r="B374" s="129"/>
      <c r="C374" s="129"/>
      <c r="D374" s="129"/>
      <c r="E374" s="129"/>
      <c r="F374" s="129"/>
    </row>
    <row r="375" spans="2:6" x14ac:dyDescent="0.2">
      <c r="B375" s="129"/>
      <c r="C375" s="129"/>
      <c r="D375" s="129"/>
      <c r="E375" s="129"/>
      <c r="F375" s="129"/>
    </row>
    <row r="376" spans="2:6" x14ac:dyDescent="0.2">
      <c r="B376" s="129"/>
      <c r="C376" s="129"/>
      <c r="D376" s="129"/>
      <c r="E376" s="129"/>
      <c r="F376" s="129"/>
    </row>
    <row r="377" spans="2:6" x14ac:dyDescent="0.2">
      <c r="B377" s="129"/>
      <c r="C377" s="129"/>
      <c r="D377" s="129"/>
      <c r="E377" s="129"/>
      <c r="F377" s="129"/>
    </row>
    <row r="378" spans="2:6" x14ac:dyDescent="0.2">
      <c r="B378" s="129"/>
      <c r="C378" s="129"/>
      <c r="D378" s="129"/>
      <c r="E378" s="129"/>
      <c r="F378" s="129"/>
    </row>
    <row r="379" spans="2:6" x14ac:dyDescent="0.2">
      <c r="B379" s="129"/>
      <c r="C379" s="129"/>
      <c r="D379" s="129"/>
      <c r="E379" s="129"/>
      <c r="F379" s="129"/>
    </row>
    <row r="380" spans="2:6" x14ac:dyDescent="0.2">
      <c r="B380" s="129"/>
      <c r="C380" s="129"/>
      <c r="D380" s="129"/>
      <c r="E380" s="129"/>
      <c r="F380" s="129"/>
    </row>
    <row r="381" spans="2:6" x14ac:dyDescent="0.2">
      <c r="B381" s="129"/>
      <c r="C381" s="129"/>
      <c r="D381" s="129"/>
      <c r="E381" s="129"/>
      <c r="F381" s="129"/>
    </row>
    <row r="382" spans="2:6" x14ac:dyDescent="0.2">
      <c r="B382" s="129"/>
      <c r="C382" s="129"/>
      <c r="D382" s="129"/>
      <c r="E382" s="129"/>
      <c r="F382" s="129"/>
    </row>
    <row r="383" spans="2:6" x14ac:dyDescent="0.2">
      <c r="B383" s="129"/>
      <c r="C383" s="129"/>
      <c r="D383" s="129"/>
      <c r="E383" s="129"/>
      <c r="F383" s="129"/>
    </row>
    <row r="384" spans="2:6" x14ac:dyDescent="0.2">
      <c r="B384" s="129"/>
      <c r="C384" s="129"/>
      <c r="D384" s="129"/>
      <c r="E384" s="129"/>
      <c r="F384" s="129"/>
    </row>
    <row r="385" spans="2:6" x14ac:dyDescent="0.2">
      <c r="B385" s="129"/>
      <c r="C385" s="129"/>
      <c r="D385" s="129"/>
      <c r="E385" s="129"/>
      <c r="F385" s="129"/>
    </row>
    <row r="386" spans="2:6" x14ac:dyDescent="0.2">
      <c r="B386" s="129"/>
      <c r="C386" s="129"/>
      <c r="D386" s="129"/>
      <c r="E386" s="129"/>
      <c r="F386" s="129"/>
    </row>
    <row r="387" spans="2:6" x14ac:dyDescent="0.2">
      <c r="B387" s="129"/>
      <c r="C387" s="129"/>
      <c r="D387" s="129"/>
      <c r="E387" s="129"/>
      <c r="F387" s="129"/>
    </row>
    <row r="388" spans="2:6" x14ac:dyDescent="0.2">
      <c r="B388" s="129"/>
      <c r="C388" s="129"/>
      <c r="D388" s="129"/>
      <c r="E388" s="129"/>
      <c r="F388" s="129"/>
    </row>
    <row r="389" spans="2:6" x14ac:dyDescent="0.2">
      <c r="B389" s="129"/>
      <c r="C389" s="129"/>
      <c r="D389" s="129"/>
      <c r="E389" s="129"/>
      <c r="F389" s="129"/>
    </row>
    <row r="390" spans="2:6" x14ac:dyDescent="0.2">
      <c r="B390" s="129"/>
      <c r="C390" s="129"/>
      <c r="D390" s="129"/>
      <c r="E390" s="129"/>
      <c r="F390" s="129"/>
    </row>
    <row r="391" spans="2:6" x14ac:dyDescent="0.2">
      <c r="B391" s="129"/>
      <c r="C391" s="129"/>
      <c r="D391" s="129"/>
      <c r="E391" s="129"/>
      <c r="F391" s="129"/>
    </row>
    <row r="392" spans="2:6" x14ac:dyDescent="0.2">
      <c r="B392" s="129"/>
      <c r="C392" s="129"/>
      <c r="D392" s="129"/>
      <c r="E392" s="129"/>
      <c r="F392" s="129"/>
    </row>
    <row r="393" spans="2:6" x14ac:dyDescent="0.2">
      <c r="B393" s="129"/>
      <c r="C393" s="129"/>
      <c r="D393" s="129"/>
      <c r="E393" s="129"/>
      <c r="F393" s="129"/>
    </row>
    <row r="394" spans="2:6" x14ac:dyDescent="0.2">
      <c r="B394" s="129"/>
      <c r="C394" s="129"/>
      <c r="D394" s="129"/>
      <c r="E394" s="129"/>
      <c r="F394" s="129"/>
    </row>
    <row r="395" spans="2:6" x14ac:dyDescent="0.2">
      <c r="B395" s="129"/>
      <c r="C395" s="129"/>
      <c r="D395" s="129"/>
      <c r="E395" s="129"/>
      <c r="F395" s="129"/>
    </row>
    <row r="396" spans="2:6" x14ac:dyDescent="0.2">
      <c r="B396" s="129"/>
      <c r="C396" s="129"/>
      <c r="D396" s="129"/>
      <c r="E396" s="129"/>
      <c r="F396" s="129"/>
    </row>
    <row r="397" spans="2:6" x14ac:dyDescent="0.2">
      <c r="B397" s="129"/>
      <c r="C397" s="129"/>
      <c r="D397" s="129"/>
      <c r="E397" s="129"/>
      <c r="F397" s="129"/>
    </row>
    <row r="398" spans="2:6" x14ac:dyDescent="0.2">
      <c r="B398" s="129"/>
      <c r="C398" s="129"/>
      <c r="D398" s="129"/>
      <c r="E398" s="129"/>
      <c r="F398" s="129"/>
    </row>
    <row r="399" spans="2:6" x14ac:dyDescent="0.2">
      <c r="B399" s="129"/>
      <c r="C399" s="129"/>
      <c r="D399" s="129"/>
      <c r="E399" s="129"/>
      <c r="F399" s="129"/>
    </row>
    <row r="400" spans="2:6" x14ac:dyDescent="0.2">
      <c r="B400" s="129"/>
      <c r="C400" s="129"/>
      <c r="D400" s="129"/>
      <c r="E400" s="129"/>
      <c r="F400" s="129"/>
    </row>
    <row r="401" spans="2:6" x14ac:dyDescent="0.2">
      <c r="B401" s="129"/>
      <c r="C401" s="129"/>
      <c r="D401" s="129"/>
      <c r="E401" s="129"/>
      <c r="F401" s="129"/>
    </row>
    <row r="402" spans="2:6" x14ac:dyDescent="0.2">
      <c r="B402" s="129"/>
      <c r="C402" s="129"/>
      <c r="D402" s="129"/>
      <c r="E402" s="129"/>
      <c r="F402" s="129"/>
    </row>
    <row r="403" spans="2:6" x14ac:dyDescent="0.2">
      <c r="B403" s="129"/>
      <c r="C403" s="129"/>
      <c r="D403" s="129"/>
      <c r="E403" s="129"/>
      <c r="F403" s="129"/>
    </row>
    <row r="404" spans="2:6" x14ac:dyDescent="0.2">
      <c r="B404" s="129"/>
      <c r="C404" s="129"/>
      <c r="D404" s="129"/>
      <c r="E404" s="129"/>
      <c r="F404" s="129"/>
    </row>
    <row r="405" spans="2:6" x14ac:dyDescent="0.2">
      <c r="B405" s="129"/>
      <c r="C405" s="129"/>
      <c r="D405" s="129"/>
      <c r="E405" s="129"/>
      <c r="F405" s="129"/>
    </row>
    <row r="406" spans="2:6" x14ac:dyDescent="0.2">
      <c r="B406" s="129"/>
      <c r="C406" s="129"/>
      <c r="D406" s="129"/>
      <c r="E406" s="129"/>
      <c r="F406" s="129"/>
    </row>
    <row r="407" spans="2:6" x14ac:dyDescent="0.2">
      <c r="B407" s="129"/>
      <c r="C407" s="129"/>
      <c r="D407" s="129"/>
      <c r="E407" s="129"/>
      <c r="F407" s="129"/>
    </row>
    <row r="408" spans="2:6" x14ac:dyDescent="0.2">
      <c r="B408" s="129"/>
      <c r="C408" s="129"/>
      <c r="D408" s="129"/>
      <c r="E408" s="129"/>
      <c r="F408" s="129"/>
    </row>
    <row r="409" spans="2:6" x14ac:dyDescent="0.2">
      <c r="B409" s="129"/>
      <c r="C409" s="129"/>
      <c r="D409" s="129"/>
      <c r="E409" s="129"/>
      <c r="F409" s="129"/>
    </row>
    <row r="410" spans="2:6" x14ac:dyDescent="0.2">
      <c r="B410" s="129"/>
      <c r="C410" s="129"/>
      <c r="D410" s="129"/>
      <c r="E410" s="129"/>
      <c r="F410" s="129"/>
    </row>
    <row r="411" spans="2:6" x14ac:dyDescent="0.2">
      <c r="B411" s="129"/>
      <c r="C411" s="129"/>
      <c r="D411" s="129"/>
      <c r="E411" s="129"/>
      <c r="F411" s="129"/>
    </row>
    <row r="412" spans="2:6" x14ac:dyDescent="0.2">
      <c r="B412" s="129"/>
      <c r="C412" s="129"/>
      <c r="D412" s="129"/>
      <c r="E412" s="129"/>
      <c r="F412" s="129"/>
    </row>
    <row r="413" spans="2:6" x14ac:dyDescent="0.2">
      <c r="B413" s="129"/>
      <c r="C413" s="129"/>
      <c r="D413" s="129"/>
      <c r="E413" s="129"/>
      <c r="F413" s="129"/>
    </row>
    <row r="414" spans="2:6" x14ac:dyDescent="0.2">
      <c r="B414" s="129"/>
      <c r="C414" s="129"/>
      <c r="D414" s="129"/>
      <c r="E414" s="129"/>
      <c r="F414" s="129"/>
    </row>
    <row r="415" spans="2:6" x14ac:dyDescent="0.2">
      <c r="B415" s="129"/>
      <c r="C415" s="129"/>
      <c r="D415" s="129"/>
      <c r="E415" s="129"/>
      <c r="F415" s="129"/>
    </row>
    <row r="416" spans="2:6" x14ac:dyDescent="0.2">
      <c r="B416" s="129"/>
      <c r="C416" s="129"/>
      <c r="D416" s="129"/>
      <c r="E416" s="129"/>
      <c r="F416" s="129"/>
    </row>
    <row r="417" spans="2:6" x14ac:dyDescent="0.2">
      <c r="B417" s="129"/>
      <c r="C417" s="129"/>
      <c r="D417" s="129"/>
      <c r="E417" s="129"/>
      <c r="F417" s="129"/>
    </row>
    <row r="418" spans="2:6" x14ac:dyDescent="0.2">
      <c r="B418" s="129"/>
      <c r="C418" s="129"/>
      <c r="D418" s="129"/>
      <c r="E418" s="129"/>
      <c r="F418" s="129"/>
    </row>
    <row r="419" spans="2:6" x14ac:dyDescent="0.2">
      <c r="B419" s="129"/>
      <c r="C419" s="129"/>
      <c r="D419" s="129"/>
      <c r="E419" s="129"/>
      <c r="F419" s="129"/>
    </row>
    <row r="420" spans="2:6" x14ac:dyDescent="0.2">
      <c r="B420" s="129"/>
      <c r="C420" s="129"/>
      <c r="D420" s="129"/>
      <c r="E420" s="129"/>
      <c r="F420" s="129"/>
    </row>
    <row r="421" spans="2:6" x14ac:dyDescent="0.2">
      <c r="B421" s="129"/>
      <c r="C421" s="129"/>
      <c r="D421" s="129"/>
      <c r="E421" s="129"/>
      <c r="F421" s="129"/>
    </row>
    <row r="422" spans="2:6" x14ac:dyDescent="0.2">
      <c r="B422" s="129"/>
      <c r="C422" s="129"/>
      <c r="D422" s="129"/>
      <c r="E422" s="129"/>
      <c r="F422" s="129"/>
    </row>
    <row r="423" spans="2:6" x14ac:dyDescent="0.2">
      <c r="B423" s="129"/>
      <c r="C423" s="129"/>
      <c r="D423" s="129"/>
      <c r="E423" s="129"/>
      <c r="F423" s="129"/>
    </row>
    <row r="424" spans="2:6" x14ac:dyDescent="0.2">
      <c r="B424" s="129"/>
      <c r="C424" s="129"/>
      <c r="D424" s="129"/>
      <c r="E424" s="129"/>
      <c r="F424" s="129"/>
    </row>
    <row r="425" spans="2:6" x14ac:dyDescent="0.2">
      <c r="B425" s="129"/>
      <c r="C425" s="129"/>
      <c r="D425" s="129"/>
      <c r="E425" s="129"/>
      <c r="F425" s="129"/>
    </row>
    <row r="426" spans="2:6" x14ac:dyDescent="0.2">
      <c r="B426" s="129"/>
      <c r="C426" s="129"/>
      <c r="D426" s="129"/>
      <c r="E426" s="129"/>
      <c r="F426" s="129"/>
    </row>
    <row r="427" spans="2:6" x14ac:dyDescent="0.2">
      <c r="B427" s="129"/>
      <c r="C427" s="129"/>
      <c r="D427" s="129"/>
      <c r="E427" s="129"/>
      <c r="F427" s="129"/>
    </row>
    <row r="428" spans="2:6" x14ac:dyDescent="0.2">
      <c r="B428" s="129"/>
      <c r="C428" s="129"/>
      <c r="D428" s="129"/>
      <c r="E428" s="129"/>
      <c r="F428" s="129"/>
    </row>
    <row r="429" spans="2:6" x14ac:dyDescent="0.2">
      <c r="B429" s="129"/>
      <c r="C429" s="129"/>
      <c r="D429" s="129"/>
      <c r="E429" s="129"/>
      <c r="F429" s="129"/>
    </row>
    <row r="430" spans="2:6" x14ac:dyDescent="0.2">
      <c r="B430" s="129"/>
      <c r="C430" s="129"/>
      <c r="D430" s="129"/>
      <c r="E430" s="129"/>
      <c r="F430" s="129"/>
    </row>
    <row r="431" spans="2:6" x14ac:dyDescent="0.2">
      <c r="B431" s="129"/>
      <c r="C431" s="129"/>
      <c r="D431" s="129"/>
      <c r="E431" s="129"/>
      <c r="F431" s="129"/>
    </row>
    <row r="432" spans="2:6" x14ac:dyDescent="0.2">
      <c r="B432" s="129"/>
      <c r="C432" s="129"/>
      <c r="D432" s="129"/>
      <c r="E432" s="129"/>
      <c r="F432" s="129"/>
    </row>
    <row r="433" spans="2:6" x14ac:dyDescent="0.2">
      <c r="B433" s="129"/>
      <c r="C433" s="129"/>
      <c r="D433" s="129"/>
      <c r="E433" s="129"/>
      <c r="F433" s="129"/>
    </row>
    <row r="434" spans="2:6" x14ac:dyDescent="0.2">
      <c r="B434" s="129"/>
      <c r="C434" s="129"/>
      <c r="D434" s="129"/>
      <c r="E434" s="129"/>
      <c r="F434" s="129"/>
    </row>
    <row r="435" spans="2:6" x14ac:dyDescent="0.2">
      <c r="B435" s="129"/>
      <c r="C435" s="129"/>
      <c r="D435" s="129"/>
      <c r="E435" s="129"/>
      <c r="F435" s="129"/>
    </row>
    <row r="436" spans="2:6" x14ac:dyDescent="0.2">
      <c r="B436" s="129"/>
      <c r="C436" s="129"/>
      <c r="D436" s="129"/>
      <c r="E436" s="129"/>
      <c r="F436" s="129"/>
    </row>
    <row r="437" spans="2:6" x14ac:dyDescent="0.2">
      <c r="B437" s="129"/>
      <c r="C437" s="129"/>
      <c r="D437" s="129"/>
      <c r="E437" s="129"/>
      <c r="F437" s="129"/>
    </row>
    <row r="438" spans="2:6" x14ac:dyDescent="0.2">
      <c r="B438" s="129"/>
      <c r="C438" s="129"/>
      <c r="D438" s="129"/>
      <c r="E438" s="129"/>
      <c r="F438" s="129"/>
    </row>
    <row r="439" spans="2:6" x14ac:dyDescent="0.2">
      <c r="B439" s="129"/>
      <c r="C439" s="129"/>
      <c r="D439" s="129"/>
      <c r="E439" s="129"/>
      <c r="F439" s="129"/>
    </row>
    <row r="440" spans="2:6" x14ac:dyDescent="0.2">
      <c r="B440" s="129"/>
      <c r="C440" s="129"/>
      <c r="D440" s="129"/>
      <c r="E440" s="129"/>
      <c r="F440" s="129"/>
    </row>
    <row r="441" spans="2:6" x14ac:dyDescent="0.2">
      <c r="B441" s="129"/>
      <c r="C441" s="129"/>
      <c r="D441" s="129"/>
      <c r="E441" s="129"/>
      <c r="F441" s="129"/>
    </row>
    <row r="442" spans="2:6" x14ac:dyDescent="0.2">
      <c r="B442" s="129"/>
      <c r="C442" s="129"/>
      <c r="D442" s="129"/>
      <c r="E442" s="129"/>
      <c r="F442" s="129"/>
    </row>
    <row r="443" spans="2:6" x14ac:dyDescent="0.2">
      <c r="B443" s="129"/>
      <c r="C443" s="129"/>
      <c r="D443" s="129"/>
      <c r="E443" s="129"/>
      <c r="F443" s="129"/>
    </row>
    <row r="444" spans="2:6" x14ac:dyDescent="0.2">
      <c r="B444" s="129"/>
      <c r="C444" s="129"/>
      <c r="D444" s="129"/>
      <c r="E444" s="129"/>
      <c r="F444" s="129"/>
    </row>
    <row r="445" spans="2:6" x14ac:dyDescent="0.2">
      <c r="B445" s="129"/>
      <c r="C445" s="129"/>
      <c r="D445" s="129"/>
      <c r="E445" s="129"/>
      <c r="F445" s="129"/>
    </row>
    <row r="446" spans="2:6" x14ac:dyDescent="0.2">
      <c r="B446" s="129"/>
      <c r="C446" s="129"/>
      <c r="D446" s="129"/>
      <c r="E446" s="129"/>
      <c r="F446" s="129"/>
    </row>
    <row r="447" spans="2:6" x14ac:dyDescent="0.2">
      <c r="B447" s="129"/>
      <c r="C447" s="129"/>
      <c r="D447" s="129"/>
      <c r="E447" s="129"/>
      <c r="F447" s="129"/>
    </row>
    <row r="448" spans="2:6" x14ac:dyDescent="0.2">
      <c r="B448" s="129"/>
      <c r="C448" s="129"/>
      <c r="D448" s="129"/>
      <c r="E448" s="129"/>
      <c r="F448" s="129"/>
    </row>
    <row r="449" spans="2:6" x14ac:dyDescent="0.2">
      <c r="B449" s="129"/>
      <c r="C449" s="129"/>
      <c r="D449" s="129"/>
      <c r="E449" s="129"/>
      <c r="F449" s="129"/>
    </row>
    <row r="450" spans="2:6" x14ac:dyDescent="0.2">
      <c r="B450" s="129"/>
      <c r="C450" s="129"/>
      <c r="D450" s="129"/>
      <c r="E450" s="129"/>
      <c r="F450" s="129"/>
    </row>
    <row r="451" spans="2:6" x14ac:dyDescent="0.2">
      <c r="B451" s="129"/>
      <c r="C451" s="129"/>
      <c r="D451" s="129"/>
      <c r="E451" s="129"/>
      <c r="F451" s="129"/>
    </row>
    <row r="452" spans="2:6" x14ac:dyDescent="0.2">
      <c r="B452" s="129"/>
      <c r="C452" s="129"/>
      <c r="D452" s="129"/>
      <c r="E452" s="129"/>
      <c r="F452" s="129"/>
    </row>
    <row r="453" spans="2:6" x14ac:dyDescent="0.2">
      <c r="B453" s="129"/>
      <c r="C453" s="129"/>
      <c r="D453" s="129"/>
      <c r="E453" s="129"/>
      <c r="F453" s="129"/>
    </row>
    <row r="454" spans="2:6" x14ac:dyDescent="0.2">
      <c r="B454" s="129"/>
      <c r="C454" s="129"/>
      <c r="D454" s="129"/>
      <c r="E454" s="129"/>
      <c r="F454" s="129"/>
    </row>
    <row r="455" spans="2:6" x14ac:dyDescent="0.2">
      <c r="B455" s="129"/>
      <c r="C455" s="129"/>
      <c r="D455" s="129"/>
      <c r="E455" s="129"/>
      <c r="F455" s="129"/>
    </row>
    <row r="456" spans="2:6" x14ac:dyDescent="0.2">
      <c r="B456" s="129"/>
      <c r="C456" s="129"/>
      <c r="D456" s="129"/>
      <c r="E456" s="129"/>
      <c r="F456" s="129"/>
    </row>
    <row r="457" spans="2:6" x14ac:dyDescent="0.2">
      <c r="B457" s="129"/>
      <c r="C457" s="129"/>
      <c r="D457" s="129"/>
      <c r="E457" s="129"/>
      <c r="F457" s="129"/>
    </row>
    <row r="458" spans="2:6" x14ac:dyDescent="0.2">
      <c r="B458" s="129"/>
      <c r="C458" s="129"/>
      <c r="D458" s="129"/>
      <c r="E458" s="129"/>
      <c r="F458" s="129"/>
    </row>
    <row r="459" spans="2:6" x14ac:dyDescent="0.2">
      <c r="B459" s="129"/>
      <c r="C459" s="129"/>
      <c r="D459" s="129"/>
      <c r="E459" s="129"/>
      <c r="F459" s="129"/>
    </row>
    <row r="460" spans="2:6" x14ac:dyDescent="0.2">
      <c r="B460" s="129"/>
      <c r="C460" s="129"/>
      <c r="D460" s="129"/>
      <c r="E460" s="129"/>
      <c r="F460" s="129"/>
    </row>
    <row r="461" spans="2:6" x14ac:dyDescent="0.2">
      <c r="B461" s="129"/>
      <c r="C461" s="129"/>
      <c r="D461" s="129"/>
      <c r="E461" s="129"/>
      <c r="F461" s="129"/>
    </row>
    <row r="462" spans="2:6" x14ac:dyDescent="0.2">
      <c r="B462" s="129"/>
      <c r="C462" s="129"/>
      <c r="D462" s="129"/>
      <c r="E462" s="129"/>
      <c r="F462" s="129"/>
    </row>
    <row r="463" spans="2:6" x14ac:dyDescent="0.2">
      <c r="B463" s="129"/>
      <c r="C463" s="129"/>
      <c r="D463" s="129"/>
      <c r="E463" s="129"/>
      <c r="F463" s="129"/>
    </row>
    <row r="464" spans="2:6" x14ac:dyDescent="0.2">
      <c r="B464" s="129"/>
      <c r="C464" s="129"/>
      <c r="D464" s="129"/>
      <c r="E464" s="129"/>
      <c r="F464" s="129"/>
    </row>
    <row r="465" spans="2:6" x14ac:dyDescent="0.2">
      <c r="B465" s="129"/>
      <c r="C465" s="129"/>
      <c r="D465" s="129"/>
      <c r="E465" s="129"/>
      <c r="F465" s="129"/>
    </row>
    <row r="466" spans="2:6" x14ac:dyDescent="0.2">
      <c r="B466" s="129"/>
      <c r="C466" s="129"/>
      <c r="D466" s="129"/>
      <c r="E466" s="129"/>
      <c r="F466" s="129"/>
    </row>
    <row r="467" spans="2:6" x14ac:dyDescent="0.2">
      <c r="B467" s="129"/>
      <c r="C467" s="129"/>
      <c r="D467" s="129"/>
      <c r="E467" s="129"/>
      <c r="F467" s="129"/>
    </row>
    <row r="468" spans="2:6" x14ac:dyDescent="0.2">
      <c r="B468" s="129"/>
      <c r="C468" s="129"/>
      <c r="D468" s="129"/>
      <c r="E468" s="129"/>
      <c r="F468" s="129"/>
    </row>
    <row r="469" spans="2:6" x14ac:dyDescent="0.2">
      <c r="B469" s="129"/>
      <c r="C469" s="129"/>
      <c r="D469" s="129"/>
      <c r="E469" s="129"/>
      <c r="F469" s="129"/>
    </row>
    <row r="470" spans="2:6" x14ac:dyDescent="0.2">
      <c r="B470" s="129"/>
      <c r="C470" s="129"/>
      <c r="D470" s="129"/>
      <c r="E470" s="129"/>
      <c r="F470" s="129"/>
    </row>
    <row r="471" spans="2:6" x14ac:dyDescent="0.2">
      <c r="B471" s="129"/>
      <c r="C471" s="129"/>
      <c r="D471" s="129"/>
      <c r="E471" s="129"/>
      <c r="F471" s="129"/>
    </row>
    <row r="472" spans="2:6" x14ac:dyDescent="0.2">
      <c r="B472" s="129"/>
      <c r="C472" s="129"/>
      <c r="D472" s="129"/>
      <c r="E472" s="129"/>
      <c r="F472" s="129"/>
    </row>
    <row r="473" spans="2:6" x14ac:dyDescent="0.2">
      <c r="B473" s="129"/>
      <c r="C473" s="129"/>
      <c r="D473" s="129"/>
      <c r="E473" s="129"/>
      <c r="F473" s="129"/>
    </row>
    <row r="474" spans="2:6" x14ac:dyDescent="0.2">
      <c r="B474" s="129"/>
      <c r="C474" s="129"/>
      <c r="D474" s="129"/>
      <c r="E474" s="129"/>
      <c r="F474" s="129"/>
    </row>
    <row r="475" spans="2:6" x14ac:dyDescent="0.2">
      <c r="B475" s="129"/>
      <c r="C475" s="129"/>
      <c r="D475" s="129"/>
      <c r="E475" s="129"/>
      <c r="F475" s="129"/>
    </row>
    <row r="476" spans="2:6" x14ac:dyDescent="0.2">
      <c r="B476" s="129"/>
      <c r="C476" s="129"/>
      <c r="D476" s="129"/>
      <c r="E476" s="129"/>
      <c r="F476" s="129"/>
    </row>
    <row r="477" spans="2:6" x14ac:dyDescent="0.2">
      <c r="B477" s="129"/>
      <c r="C477" s="129"/>
      <c r="D477" s="129"/>
      <c r="E477" s="129"/>
      <c r="F477" s="129"/>
    </row>
    <row r="478" spans="2:6" x14ac:dyDescent="0.2">
      <c r="B478" s="129"/>
      <c r="C478" s="129"/>
      <c r="D478" s="129"/>
      <c r="E478" s="129"/>
      <c r="F478" s="129"/>
    </row>
    <row r="479" spans="2:6" x14ac:dyDescent="0.2">
      <c r="B479" s="129"/>
      <c r="C479" s="129"/>
      <c r="D479" s="129"/>
      <c r="E479" s="129"/>
      <c r="F479" s="129"/>
    </row>
    <row r="480" spans="2:6" x14ac:dyDescent="0.2">
      <c r="B480" s="129"/>
      <c r="C480" s="129"/>
      <c r="D480" s="129"/>
      <c r="E480" s="129"/>
      <c r="F480" s="129"/>
    </row>
    <row r="481" spans="2:6" x14ac:dyDescent="0.2">
      <c r="B481" s="129"/>
      <c r="C481" s="129"/>
      <c r="D481" s="129"/>
      <c r="E481" s="129"/>
      <c r="F481" s="129"/>
    </row>
    <row r="482" spans="2:6" x14ac:dyDescent="0.2">
      <c r="B482" s="129"/>
      <c r="C482" s="129"/>
      <c r="D482" s="129"/>
      <c r="E482" s="129"/>
      <c r="F482" s="129"/>
    </row>
    <row r="483" spans="2:6" x14ac:dyDescent="0.2">
      <c r="B483" s="129"/>
      <c r="C483" s="129"/>
      <c r="D483" s="129"/>
      <c r="E483" s="129"/>
      <c r="F483" s="129"/>
    </row>
    <row r="484" spans="2:6" x14ac:dyDescent="0.2">
      <c r="B484" s="129"/>
      <c r="C484" s="129"/>
      <c r="D484" s="129"/>
      <c r="E484" s="129"/>
      <c r="F484" s="129"/>
    </row>
    <row r="485" spans="2:6" x14ac:dyDescent="0.2">
      <c r="B485" s="129"/>
      <c r="C485" s="129"/>
      <c r="D485" s="129"/>
      <c r="E485" s="129"/>
      <c r="F485" s="129"/>
    </row>
    <row r="486" spans="2:6" x14ac:dyDescent="0.2">
      <c r="B486" s="129"/>
      <c r="C486" s="129"/>
      <c r="D486" s="129"/>
      <c r="E486" s="129"/>
      <c r="F486" s="129"/>
    </row>
    <row r="487" spans="2:6" x14ac:dyDescent="0.2">
      <c r="B487" s="129"/>
      <c r="C487" s="129"/>
      <c r="D487" s="129"/>
      <c r="E487" s="129"/>
      <c r="F487" s="129"/>
    </row>
    <row r="488" spans="2:6" x14ac:dyDescent="0.2">
      <c r="B488" s="129"/>
      <c r="C488" s="129"/>
      <c r="D488" s="129"/>
      <c r="E488" s="129"/>
      <c r="F488" s="129"/>
    </row>
    <row r="489" spans="2:6" x14ac:dyDescent="0.2">
      <c r="B489" s="129"/>
      <c r="C489" s="129"/>
      <c r="D489" s="129"/>
      <c r="E489" s="129"/>
      <c r="F489" s="129"/>
    </row>
    <row r="490" spans="2:6" x14ac:dyDescent="0.2">
      <c r="B490" s="129"/>
      <c r="C490" s="129"/>
      <c r="D490" s="129"/>
      <c r="E490" s="129"/>
      <c r="F490" s="129"/>
    </row>
    <row r="491" spans="2:6" x14ac:dyDescent="0.2">
      <c r="B491" s="129"/>
      <c r="C491" s="129"/>
      <c r="D491" s="129"/>
      <c r="E491" s="129"/>
      <c r="F491" s="129"/>
    </row>
    <row r="492" spans="2:6" x14ac:dyDescent="0.2">
      <c r="B492" s="129"/>
      <c r="C492" s="129"/>
      <c r="D492" s="129"/>
      <c r="E492" s="129"/>
      <c r="F492" s="129"/>
    </row>
    <row r="493" spans="2:6" x14ac:dyDescent="0.2">
      <c r="B493" s="129"/>
      <c r="C493" s="129"/>
      <c r="D493" s="129"/>
      <c r="E493" s="129"/>
      <c r="F493" s="129"/>
    </row>
    <row r="494" spans="2:6" x14ac:dyDescent="0.2">
      <c r="B494" s="129"/>
      <c r="C494" s="129"/>
      <c r="D494" s="129"/>
      <c r="E494" s="129"/>
      <c r="F494" s="129"/>
    </row>
    <row r="495" spans="2:6" x14ac:dyDescent="0.2">
      <c r="B495" s="129"/>
      <c r="C495" s="129"/>
      <c r="D495" s="129"/>
      <c r="E495" s="129"/>
      <c r="F495" s="129"/>
    </row>
    <row r="496" spans="2:6" x14ac:dyDescent="0.2">
      <c r="B496" s="129"/>
      <c r="C496" s="129"/>
      <c r="D496" s="129"/>
      <c r="E496" s="129"/>
      <c r="F496" s="129"/>
    </row>
    <row r="497" spans="2:6" x14ac:dyDescent="0.2">
      <c r="B497" s="129"/>
      <c r="C497" s="129"/>
      <c r="D497" s="129"/>
      <c r="E497" s="129"/>
      <c r="F497" s="129"/>
    </row>
    <row r="498" spans="2:6" x14ac:dyDescent="0.2">
      <c r="B498" s="129"/>
      <c r="C498" s="129"/>
      <c r="D498" s="129"/>
      <c r="E498" s="129"/>
      <c r="F498" s="129"/>
    </row>
    <row r="499" spans="2:6" x14ac:dyDescent="0.2">
      <c r="B499" s="129"/>
      <c r="C499" s="129"/>
      <c r="D499" s="129"/>
      <c r="E499" s="129"/>
      <c r="F499" s="129"/>
    </row>
    <row r="500" spans="2:6" x14ac:dyDescent="0.2">
      <c r="B500" s="129"/>
      <c r="C500" s="129"/>
      <c r="D500" s="129"/>
      <c r="E500" s="129"/>
      <c r="F500" s="129"/>
    </row>
    <row r="501" spans="2:6" x14ac:dyDescent="0.2">
      <c r="B501" s="129"/>
      <c r="C501" s="129"/>
      <c r="D501" s="129"/>
      <c r="E501" s="129"/>
      <c r="F501" s="129"/>
    </row>
    <row r="502" spans="2:6" x14ac:dyDescent="0.2">
      <c r="B502" s="129"/>
      <c r="C502" s="129"/>
      <c r="D502" s="129"/>
      <c r="E502" s="129"/>
      <c r="F502" s="129"/>
    </row>
    <row r="503" spans="2:6" x14ac:dyDescent="0.2">
      <c r="B503" s="129"/>
      <c r="C503" s="129"/>
      <c r="D503" s="129"/>
      <c r="E503" s="129"/>
      <c r="F503" s="129"/>
    </row>
    <row r="504" spans="2:6" x14ac:dyDescent="0.2">
      <c r="B504" s="129"/>
      <c r="C504" s="129"/>
      <c r="D504" s="129"/>
      <c r="E504" s="129"/>
      <c r="F504" s="129"/>
    </row>
    <row r="505" spans="2:6" x14ac:dyDescent="0.2">
      <c r="B505" s="129"/>
      <c r="C505" s="129"/>
      <c r="D505" s="129"/>
      <c r="E505" s="129"/>
      <c r="F505" s="129"/>
    </row>
    <row r="506" spans="2:6" x14ac:dyDescent="0.2">
      <c r="B506" s="129"/>
      <c r="C506" s="129"/>
      <c r="D506" s="129"/>
      <c r="E506" s="129"/>
      <c r="F506" s="129"/>
    </row>
    <row r="507" spans="2:6" x14ac:dyDescent="0.2">
      <c r="B507" s="129"/>
      <c r="C507" s="129"/>
      <c r="D507" s="129"/>
      <c r="E507" s="129"/>
      <c r="F507" s="129"/>
    </row>
    <row r="508" spans="2:6" x14ac:dyDescent="0.2">
      <c r="B508" s="129"/>
      <c r="C508" s="129"/>
      <c r="D508" s="129"/>
      <c r="E508" s="129"/>
      <c r="F508" s="129"/>
    </row>
    <row r="509" spans="2:6" x14ac:dyDescent="0.2">
      <c r="B509" s="129"/>
      <c r="C509" s="129"/>
      <c r="D509" s="129"/>
      <c r="E509" s="129"/>
      <c r="F509" s="129"/>
    </row>
    <row r="510" spans="2:6" x14ac:dyDescent="0.2">
      <c r="B510" s="129"/>
      <c r="C510" s="129"/>
      <c r="D510" s="129"/>
      <c r="E510" s="129"/>
      <c r="F510" s="129"/>
    </row>
    <row r="511" spans="2:6" x14ac:dyDescent="0.2">
      <c r="B511" s="129"/>
      <c r="C511" s="129"/>
      <c r="D511" s="129"/>
      <c r="E511" s="129"/>
      <c r="F511" s="129"/>
    </row>
    <row r="512" spans="2:6" x14ac:dyDescent="0.2">
      <c r="B512" s="129"/>
      <c r="C512" s="129"/>
      <c r="D512" s="129"/>
      <c r="E512" s="129"/>
      <c r="F512" s="129"/>
    </row>
    <row r="513" spans="2:6" x14ac:dyDescent="0.2">
      <c r="B513" s="129"/>
      <c r="C513" s="129"/>
      <c r="D513" s="129"/>
      <c r="E513" s="129"/>
      <c r="F513" s="129"/>
    </row>
    <row r="514" spans="2:6" x14ac:dyDescent="0.2">
      <c r="B514" s="129"/>
      <c r="C514" s="129"/>
      <c r="D514" s="129"/>
      <c r="E514" s="129"/>
      <c r="F514" s="129"/>
    </row>
    <row r="515" spans="2:6" x14ac:dyDescent="0.2">
      <c r="B515" s="129"/>
      <c r="C515" s="129"/>
      <c r="D515" s="129"/>
      <c r="E515" s="129"/>
      <c r="F515" s="129"/>
    </row>
    <row r="516" spans="2:6" x14ac:dyDescent="0.2">
      <c r="B516" s="129"/>
      <c r="C516" s="129"/>
      <c r="D516" s="129"/>
      <c r="E516" s="129"/>
      <c r="F516" s="129"/>
    </row>
    <row r="517" spans="2:6" x14ac:dyDescent="0.2">
      <c r="B517" s="129"/>
      <c r="C517" s="129"/>
      <c r="D517" s="129"/>
      <c r="E517" s="129"/>
      <c r="F517" s="129"/>
    </row>
    <row r="518" spans="2:6" x14ac:dyDescent="0.2">
      <c r="B518" s="129"/>
      <c r="C518" s="129"/>
      <c r="D518" s="129"/>
      <c r="E518" s="129"/>
      <c r="F518" s="129"/>
    </row>
    <row r="519" spans="2:6" x14ac:dyDescent="0.2">
      <c r="B519" s="129"/>
      <c r="C519" s="129"/>
      <c r="D519" s="129"/>
      <c r="E519" s="129"/>
      <c r="F519" s="129"/>
    </row>
    <row r="520" spans="2:6" x14ac:dyDescent="0.2">
      <c r="B520" s="129"/>
      <c r="C520" s="129"/>
      <c r="D520" s="129"/>
      <c r="E520" s="129"/>
      <c r="F520" s="129"/>
    </row>
    <row r="521" spans="2:6" x14ac:dyDescent="0.2">
      <c r="B521" s="129"/>
      <c r="C521" s="129"/>
      <c r="D521" s="129"/>
      <c r="E521" s="129"/>
      <c r="F521" s="129"/>
    </row>
    <row r="522" spans="2:6" x14ac:dyDescent="0.2">
      <c r="B522" s="129"/>
      <c r="C522" s="129"/>
      <c r="D522" s="129"/>
      <c r="E522" s="129"/>
      <c r="F522" s="129"/>
    </row>
    <row r="523" spans="2:6" x14ac:dyDescent="0.2">
      <c r="B523" s="129"/>
      <c r="C523" s="129"/>
      <c r="D523" s="129"/>
      <c r="E523" s="129"/>
      <c r="F523" s="129"/>
    </row>
    <row r="524" spans="2:6" x14ac:dyDescent="0.2">
      <c r="B524" s="129"/>
      <c r="C524" s="129"/>
      <c r="D524" s="129"/>
      <c r="E524" s="129"/>
      <c r="F524" s="129"/>
    </row>
    <row r="525" spans="2:6" x14ac:dyDescent="0.2">
      <c r="B525" s="129"/>
      <c r="C525" s="129"/>
      <c r="D525" s="129"/>
      <c r="E525" s="129"/>
      <c r="F525" s="129"/>
    </row>
    <row r="526" spans="2:6" x14ac:dyDescent="0.2">
      <c r="B526" s="129"/>
      <c r="C526" s="129"/>
      <c r="D526" s="129"/>
      <c r="E526" s="129"/>
      <c r="F526" s="129"/>
    </row>
    <row r="527" spans="2:6" x14ac:dyDescent="0.2">
      <c r="B527" s="129"/>
      <c r="C527" s="129"/>
      <c r="D527" s="129"/>
      <c r="E527" s="129"/>
      <c r="F527" s="129"/>
    </row>
    <row r="528" spans="2:6" x14ac:dyDescent="0.2">
      <c r="B528" s="129"/>
      <c r="C528" s="129"/>
      <c r="D528" s="129"/>
      <c r="E528" s="129"/>
      <c r="F528" s="129"/>
    </row>
    <row r="529" spans="2:6" x14ac:dyDescent="0.2">
      <c r="B529" s="129"/>
      <c r="C529" s="129"/>
      <c r="D529" s="129"/>
      <c r="E529" s="129"/>
      <c r="F529" s="129"/>
    </row>
    <row r="530" spans="2:6" x14ac:dyDescent="0.2">
      <c r="B530" s="129"/>
      <c r="C530" s="129"/>
      <c r="D530" s="129"/>
      <c r="E530" s="129"/>
      <c r="F530" s="129"/>
    </row>
    <row r="531" spans="2:6" x14ac:dyDescent="0.2">
      <c r="B531" s="129"/>
      <c r="C531" s="129"/>
      <c r="D531" s="129"/>
      <c r="E531" s="129"/>
      <c r="F531" s="129"/>
    </row>
    <row r="532" spans="2:6" x14ac:dyDescent="0.2">
      <c r="B532" s="129"/>
      <c r="C532" s="129"/>
      <c r="D532" s="129"/>
      <c r="E532" s="129"/>
      <c r="F532" s="129"/>
    </row>
    <row r="533" spans="2:6" x14ac:dyDescent="0.2">
      <c r="B533" s="129"/>
      <c r="C533" s="129"/>
      <c r="D533" s="129"/>
      <c r="E533" s="129"/>
      <c r="F533" s="129"/>
    </row>
    <row r="534" spans="2:6" x14ac:dyDescent="0.2">
      <c r="B534" s="129"/>
      <c r="C534" s="129"/>
      <c r="D534" s="129"/>
      <c r="E534" s="129"/>
      <c r="F534" s="129"/>
    </row>
    <row r="535" spans="2:6" x14ac:dyDescent="0.2">
      <c r="B535" s="129"/>
      <c r="C535" s="129"/>
      <c r="D535" s="129"/>
      <c r="E535" s="129"/>
      <c r="F535" s="129"/>
    </row>
    <row r="536" spans="2:6" x14ac:dyDescent="0.2">
      <c r="B536" s="129"/>
      <c r="C536" s="129"/>
      <c r="D536" s="129"/>
      <c r="E536" s="129"/>
      <c r="F536" s="129"/>
    </row>
    <row r="537" spans="2:6" x14ac:dyDescent="0.2">
      <c r="B537" s="129"/>
      <c r="C537" s="129"/>
      <c r="D537" s="129"/>
      <c r="E537" s="129"/>
      <c r="F537" s="129"/>
    </row>
    <row r="538" spans="2:6" x14ac:dyDescent="0.2">
      <c r="B538" s="129"/>
      <c r="C538" s="129"/>
      <c r="D538" s="129"/>
      <c r="E538" s="129"/>
      <c r="F538" s="129"/>
    </row>
    <row r="539" spans="2:6" x14ac:dyDescent="0.2">
      <c r="B539" s="129"/>
      <c r="C539" s="129"/>
      <c r="D539" s="129"/>
      <c r="E539" s="129"/>
      <c r="F539" s="129"/>
    </row>
    <row r="540" spans="2:6" x14ac:dyDescent="0.2">
      <c r="B540" s="129"/>
      <c r="C540" s="129"/>
      <c r="D540" s="129"/>
      <c r="E540" s="129"/>
      <c r="F540" s="129"/>
    </row>
    <row r="541" spans="2:6" x14ac:dyDescent="0.2">
      <c r="B541" s="129"/>
      <c r="C541" s="129"/>
      <c r="D541" s="129"/>
      <c r="E541" s="129"/>
      <c r="F541" s="129"/>
    </row>
    <row r="542" spans="2:6" x14ac:dyDescent="0.2">
      <c r="B542" s="129"/>
      <c r="C542" s="129"/>
      <c r="D542" s="129"/>
      <c r="E542" s="129"/>
      <c r="F542" s="129"/>
    </row>
    <row r="543" spans="2:6" x14ac:dyDescent="0.2">
      <c r="B543" s="129"/>
      <c r="C543" s="129"/>
      <c r="D543" s="129"/>
      <c r="E543" s="129"/>
      <c r="F543" s="129"/>
    </row>
    <row r="544" spans="2:6" x14ac:dyDescent="0.2">
      <c r="B544" s="129"/>
      <c r="C544" s="129"/>
      <c r="D544" s="129"/>
      <c r="E544" s="129"/>
      <c r="F544" s="129"/>
    </row>
    <row r="545" spans="2:6" x14ac:dyDescent="0.2">
      <c r="B545" s="129"/>
      <c r="C545" s="129"/>
      <c r="D545" s="129"/>
      <c r="E545" s="129"/>
      <c r="F545" s="129"/>
    </row>
    <row r="546" spans="2:6" x14ac:dyDescent="0.2">
      <c r="B546" s="129"/>
      <c r="C546" s="129"/>
      <c r="D546" s="129"/>
      <c r="E546" s="129"/>
      <c r="F546" s="129"/>
    </row>
    <row r="547" spans="2:6" x14ac:dyDescent="0.2">
      <c r="B547" s="129"/>
      <c r="C547" s="129"/>
      <c r="D547" s="129"/>
      <c r="E547" s="129"/>
      <c r="F547" s="129"/>
    </row>
    <row r="548" spans="2:6" x14ac:dyDescent="0.2">
      <c r="B548" s="129"/>
      <c r="C548" s="129"/>
      <c r="D548" s="129"/>
      <c r="E548" s="129"/>
      <c r="F548" s="129"/>
    </row>
    <row r="549" spans="2:6" x14ac:dyDescent="0.2">
      <c r="B549" s="129"/>
      <c r="C549" s="129"/>
      <c r="D549" s="129"/>
      <c r="E549" s="129"/>
      <c r="F549" s="129"/>
    </row>
    <row r="550" spans="2:6" x14ac:dyDescent="0.2">
      <c r="B550" s="129"/>
      <c r="C550" s="129"/>
      <c r="D550" s="129"/>
      <c r="E550" s="129"/>
      <c r="F550" s="129"/>
    </row>
    <row r="551" spans="2:6" x14ac:dyDescent="0.2">
      <c r="B551" s="129"/>
      <c r="C551" s="129"/>
      <c r="D551" s="129"/>
      <c r="E551" s="129"/>
      <c r="F551" s="129"/>
    </row>
    <row r="552" spans="2:6" x14ac:dyDescent="0.2">
      <c r="B552" s="129"/>
      <c r="C552" s="129"/>
      <c r="D552" s="129"/>
      <c r="E552" s="129"/>
      <c r="F552" s="129"/>
    </row>
    <row r="553" spans="2:6" x14ac:dyDescent="0.2">
      <c r="B553" s="129"/>
      <c r="C553" s="129"/>
      <c r="D553" s="129"/>
      <c r="E553" s="129"/>
      <c r="F553" s="129"/>
    </row>
    <row r="554" spans="2:6" x14ac:dyDescent="0.2">
      <c r="B554" s="129"/>
      <c r="C554" s="129"/>
      <c r="D554" s="129"/>
      <c r="E554" s="129"/>
      <c r="F554" s="129"/>
    </row>
    <row r="555" spans="2:6" x14ac:dyDescent="0.2">
      <c r="B555" s="129"/>
      <c r="C555" s="129"/>
      <c r="D555" s="129"/>
      <c r="E555" s="129"/>
      <c r="F555" s="129"/>
    </row>
    <row r="556" spans="2:6" x14ac:dyDescent="0.2">
      <c r="B556" s="129"/>
      <c r="C556" s="129"/>
      <c r="D556" s="129"/>
      <c r="E556" s="129"/>
      <c r="F556" s="129"/>
    </row>
    <row r="557" spans="2:6" x14ac:dyDescent="0.2">
      <c r="B557" s="129"/>
      <c r="C557" s="129"/>
      <c r="D557" s="129"/>
      <c r="E557" s="129"/>
      <c r="F557" s="129"/>
    </row>
    <row r="558" spans="2:6" x14ac:dyDescent="0.2">
      <c r="B558" s="129"/>
      <c r="C558" s="129"/>
      <c r="D558" s="129"/>
      <c r="E558" s="129"/>
      <c r="F558" s="129"/>
    </row>
    <row r="559" spans="2:6" x14ac:dyDescent="0.2">
      <c r="B559" s="129"/>
      <c r="C559" s="129"/>
      <c r="D559" s="129"/>
      <c r="E559" s="129"/>
      <c r="F559" s="129"/>
    </row>
    <row r="560" spans="2:6" x14ac:dyDescent="0.2">
      <c r="B560" s="129"/>
      <c r="C560" s="129"/>
      <c r="D560" s="129"/>
      <c r="E560" s="129"/>
      <c r="F560" s="129"/>
    </row>
    <row r="561" spans="2:6" x14ac:dyDescent="0.2">
      <c r="B561" s="129"/>
      <c r="C561" s="129"/>
      <c r="D561" s="129"/>
      <c r="E561" s="129"/>
      <c r="F561" s="129"/>
    </row>
    <row r="562" spans="2:6" x14ac:dyDescent="0.2">
      <c r="B562" s="129"/>
      <c r="C562" s="129"/>
      <c r="D562" s="129"/>
      <c r="E562" s="129"/>
      <c r="F562" s="129"/>
    </row>
    <row r="563" spans="2:6" x14ac:dyDescent="0.2">
      <c r="B563" s="129"/>
      <c r="C563" s="129"/>
      <c r="D563" s="129"/>
      <c r="E563" s="129"/>
      <c r="F563" s="129"/>
    </row>
    <row r="564" spans="2:6" x14ac:dyDescent="0.2">
      <c r="B564" s="129"/>
      <c r="C564" s="129"/>
      <c r="D564" s="129"/>
      <c r="E564" s="129"/>
      <c r="F564" s="129"/>
    </row>
    <row r="565" spans="2:6" x14ac:dyDescent="0.2">
      <c r="B565" s="129"/>
      <c r="C565" s="129"/>
      <c r="D565" s="129"/>
      <c r="E565" s="129"/>
      <c r="F565" s="129"/>
    </row>
    <row r="566" spans="2:6" x14ac:dyDescent="0.2">
      <c r="B566" s="129"/>
      <c r="C566" s="129"/>
      <c r="D566" s="129"/>
      <c r="E566" s="129"/>
      <c r="F566" s="129"/>
    </row>
    <row r="567" spans="2:6" x14ac:dyDescent="0.2">
      <c r="B567" s="129"/>
      <c r="C567" s="129"/>
      <c r="D567" s="129"/>
      <c r="E567" s="129"/>
      <c r="F567" s="129"/>
    </row>
    <row r="568" spans="2:6" x14ac:dyDescent="0.2">
      <c r="B568" s="129"/>
      <c r="C568" s="129"/>
      <c r="D568" s="129"/>
      <c r="E568" s="129"/>
      <c r="F568" s="129"/>
    </row>
    <row r="569" spans="2:6" x14ac:dyDescent="0.2">
      <c r="B569" s="129"/>
      <c r="C569" s="129"/>
      <c r="D569" s="129"/>
      <c r="E569" s="129"/>
      <c r="F569" s="129"/>
    </row>
    <row r="570" spans="2:6" x14ac:dyDescent="0.2">
      <c r="B570" s="129"/>
      <c r="C570" s="129"/>
      <c r="D570" s="129"/>
      <c r="E570" s="129"/>
      <c r="F570" s="129"/>
    </row>
    <row r="571" spans="2:6" x14ac:dyDescent="0.2">
      <c r="B571" s="129"/>
      <c r="C571" s="129"/>
      <c r="D571" s="129"/>
      <c r="E571" s="129"/>
      <c r="F571" s="129"/>
    </row>
    <row r="572" spans="2:6" x14ac:dyDescent="0.2">
      <c r="B572" s="129"/>
      <c r="C572" s="129"/>
      <c r="D572" s="129"/>
      <c r="E572" s="129"/>
      <c r="F572" s="129"/>
    </row>
    <row r="573" spans="2:6" x14ac:dyDescent="0.2">
      <c r="B573" s="129"/>
      <c r="C573" s="129"/>
      <c r="D573" s="129"/>
      <c r="E573" s="129"/>
      <c r="F573" s="129"/>
    </row>
    <row r="574" spans="2:6" x14ac:dyDescent="0.2">
      <c r="B574" s="129"/>
      <c r="C574" s="129"/>
      <c r="D574" s="129"/>
      <c r="E574" s="129"/>
      <c r="F574" s="129"/>
    </row>
    <row r="575" spans="2:6" x14ac:dyDescent="0.2">
      <c r="B575" s="129"/>
      <c r="C575" s="129"/>
      <c r="D575" s="129"/>
      <c r="E575" s="129"/>
      <c r="F575" s="129"/>
    </row>
    <row r="576" spans="2:6" x14ac:dyDescent="0.2">
      <c r="B576" s="129"/>
      <c r="C576" s="129"/>
      <c r="D576" s="129"/>
      <c r="E576" s="129"/>
      <c r="F576" s="129"/>
    </row>
    <row r="577" spans="2:6" x14ac:dyDescent="0.2">
      <c r="B577" s="129"/>
      <c r="C577" s="129"/>
      <c r="D577" s="129"/>
      <c r="E577" s="129"/>
      <c r="F577" s="129"/>
    </row>
    <row r="578" spans="2:6" x14ac:dyDescent="0.2">
      <c r="B578" s="129"/>
      <c r="C578" s="129"/>
      <c r="D578" s="129"/>
      <c r="E578" s="129"/>
      <c r="F578" s="129"/>
    </row>
    <row r="579" spans="2:6" x14ac:dyDescent="0.2">
      <c r="B579" s="129"/>
      <c r="C579" s="129"/>
      <c r="D579" s="129"/>
      <c r="E579" s="129"/>
      <c r="F579" s="129"/>
    </row>
    <row r="580" spans="2:6" x14ac:dyDescent="0.2">
      <c r="B580" s="129"/>
      <c r="C580" s="129"/>
      <c r="D580" s="129"/>
      <c r="E580" s="129"/>
      <c r="F580" s="129"/>
    </row>
    <row r="581" spans="2:6" x14ac:dyDescent="0.2">
      <c r="B581" s="129"/>
      <c r="C581" s="129"/>
      <c r="D581" s="129"/>
      <c r="E581" s="129"/>
      <c r="F581" s="129"/>
    </row>
    <row r="582" spans="2:6" x14ac:dyDescent="0.2">
      <c r="B582" s="129"/>
      <c r="C582" s="129"/>
      <c r="D582" s="129"/>
      <c r="E582" s="129"/>
      <c r="F582" s="129"/>
    </row>
    <row r="583" spans="2:6" x14ac:dyDescent="0.2">
      <c r="B583" s="129"/>
      <c r="C583" s="129"/>
      <c r="D583" s="129"/>
      <c r="E583" s="129"/>
      <c r="F583" s="129"/>
    </row>
    <row r="584" spans="2:6" x14ac:dyDescent="0.2">
      <c r="B584" s="129"/>
      <c r="C584" s="129"/>
      <c r="D584" s="129"/>
      <c r="E584" s="129"/>
      <c r="F584" s="129"/>
    </row>
    <row r="585" spans="2:6" x14ac:dyDescent="0.2">
      <c r="B585" s="129"/>
      <c r="C585" s="129"/>
      <c r="D585" s="129"/>
      <c r="E585" s="129"/>
      <c r="F585" s="129"/>
    </row>
    <row r="586" spans="2:6" x14ac:dyDescent="0.2">
      <c r="B586" s="129"/>
      <c r="C586" s="129"/>
      <c r="D586" s="129"/>
      <c r="E586" s="129"/>
      <c r="F586" s="129"/>
    </row>
    <row r="587" spans="2:6" x14ac:dyDescent="0.2">
      <c r="B587" s="129"/>
      <c r="C587" s="129"/>
      <c r="D587" s="129"/>
      <c r="E587" s="129"/>
      <c r="F587" s="129"/>
    </row>
    <row r="588" spans="2:6" x14ac:dyDescent="0.2">
      <c r="B588" s="129"/>
      <c r="C588" s="129"/>
      <c r="D588" s="129"/>
      <c r="E588" s="129"/>
      <c r="F588" s="129"/>
    </row>
    <row r="589" spans="2:6" x14ac:dyDescent="0.2">
      <c r="B589" s="129"/>
      <c r="C589" s="129"/>
      <c r="D589" s="129"/>
      <c r="E589" s="129"/>
      <c r="F589" s="129"/>
    </row>
    <row r="590" spans="2:6" x14ac:dyDescent="0.2">
      <c r="B590" s="129"/>
      <c r="C590" s="129"/>
      <c r="D590" s="129"/>
      <c r="E590" s="129"/>
      <c r="F590" s="129"/>
    </row>
    <row r="591" spans="2:6" x14ac:dyDescent="0.2">
      <c r="B591" s="129"/>
      <c r="C591" s="129"/>
      <c r="D591" s="129"/>
      <c r="E591" s="129"/>
      <c r="F591" s="129"/>
    </row>
    <row r="592" spans="2:6" x14ac:dyDescent="0.2">
      <c r="B592" s="129"/>
      <c r="C592" s="129"/>
      <c r="D592" s="129"/>
      <c r="E592" s="129"/>
      <c r="F592" s="129"/>
    </row>
    <row r="593" spans="2:6" x14ac:dyDescent="0.2">
      <c r="B593" s="129"/>
      <c r="C593" s="129"/>
      <c r="D593" s="129"/>
      <c r="E593" s="129"/>
      <c r="F593" s="129"/>
    </row>
    <row r="594" spans="2:6" x14ac:dyDescent="0.2">
      <c r="B594" s="129"/>
      <c r="C594" s="129"/>
      <c r="D594" s="129"/>
      <c r="E594" s="129"/>
      <c r="F594" s="129"/>
    </row>
    <row r="595" spans="2:6" x14ac:dyDescent="0.2">
      <c r="B595" s="129"/>
      <c r="C595" s="129"/>
      <c r="D595" s="129"/>
      <c r="E595" s="129"/>
      <c r="F595" s="129"/>
    </row>
    <row r="596" spans="2:6" x14ac:dyDescent="0.2">
      <c r="B596" s="129"/>
      <c r="C596" s="129"/>
      <c r="D596" s="129"/>
      <c r="E596" s="129"/>
      <c r="F596" s="129"/>
    </row>
    <row r="597" spans="2:6" x14ac:dyDescent="0.2">
      <c r="B597" s="129"/>
      <c r="C597" s="129"/>
      <c r="D597" s="129"/>
      <c r="E597" s="129"/>
      <c r="F597" s="129"/>
    </row>
    <row r="598" spans="2:6" x14ac:dyDescent="0.2">
      <c r="B598" s="129"/>
      <c r="C598" s="129"/>
      <c r="D598" s="129"/>
      <c r="E598" s="129"/>
      <c r="F598" s="129"/>
    </row>
    <row r="599" spans="2:6" x14ac:dyDescent="0.2">
      <c r="B599" s="129"/>
      <c r="C599" s="129"/>
      <c r="D599" s="129"/>
      <c r="E599" s="129"/>
      <c r="F599" s="129"/>
    </row>
    <row r="600" spans="2:6" x14ac:dyDescent="0.2">
      <c r="B600" s="129"/>
      <c r="C600" s="129"/>
      <c r="D600" s="129"/>
      <c r="E600" s="129"/>
      <c r="F600" s="129"/>
    </row>
    <row r="601" spans="2:6" x14ac:dyDescent="0.2">
      <c r="B601" s="129"/>
      <c r="C601" s="129"/>
      <c r="D601" s="129"/>
      <c r="E601" s="129"/>
      <c r="F601" s="129"/>
    </row>
    <row r="602" spans="2:6" x14ac:dyDescent="0.2">
      <c r="B602" s="129"/>
      <c r="C602" s="129"/>
      <c r="D602" s="129"/>
      <c r="E602" s="129"/>
      <c r="F602" s="129"/>
    </row>
    <row r="603" spans="2:6" x14ac:dyDescent="0.2">
      <c r="B603" s="129"/>
      <c r="C603" s="129"/>
      <c r="D603" s="129"/>
      <c r="E603" s="129"/>
      <c r="F603" s="129"/>
    </row>
    <row r="604" spans="2:6" x14ac:dyDescent="0.2">
      <c r="B604" s="129"/>
      <c r="C604" s="129"/>
      <c r="D604" s="129"/>
      <c r="E604" s="129"/>
      <c r="F604" s="129"/>
    </row>
    <row r="605" spans="2:6" x14ac:dyDescent="0.2">
      <c r="B605" s="129"/>
      <c r="C605" s="129"/>
      <c r="D605" s="129"/>
      <c r="E605" s="129"/>
      <c r="F605" s="129"/>
    </row>
    <row r="606" spans="2:6" x14ac:dyDescent="0.2">
      <c r="B606" s="129"/>
      <c r="C606" s="129"/>
      <c r="D606" s="129"/>
      <c r="E606" s="129"/>
      <c r="F606" s="129"/>
    </row>
    <row r="607" spans="2:6" x14ac:dyDescent="0.2">
      <c r="B607" s="129"/>
      <c r="C607" s="129"/>
      <c r="D607" s="129"/>
      <c r="E607" s="129"/>
      <c r="F607" s="129"/>
    </row>
    <row r="608" spans="2:6" x14ac:dyDescent="0.2">
      <c r="B608" s="129"/>
      <c r="C608" s="129"/>
      <c r="D608" s="129"/>
      <c r="E608" s="129"/>
      <c r="F608" s="129"/>
    </row>
    <row r="609" spans="2:6" x14ac:dyDescent="0.2">
      <c r="B609" s="129"/>
      <c r="C609" s="129"/>
      <c r="D609" s="129"/>
      <c r="E609" s="129"/>
      <c r="F609" s="129"/>
    </row>
    <row r="610" spans="2:6" x14ac:dyDescent="0.2">
      <c r="B610" s="129"/>
      <c r="C610" s="129"/>
      <c r="D610" s="129"/>
      <c r="E610" s="129"/>
      <c r="F610" s="129"/>
    </row>
    <row r="611" spans="2:6" x14ac:dyDescent="0.2">
      <c r="B611" s="129"/>
      <c r="C611" s="129"/>
      <c r="D611" s="129"/>
      <c r="E611" s="129"/>
      <c r="F611" s="129"/>
    </row>
    <row r="612" spans="2:6" x14ac:dyDescent="0.2">
      <c r="B612" s="129"/>
      <c r="C612" s="129"/>
      <c r="D612" s="129"/>
      <c r="E612" s="129"/>
      <c r="F612" s="129"/>
    </row>
    <row r="613" spans="2:6" x14ac:dyDescent="0.2">
      <c r="B613" s="129"/>
      <c r="C613" s="129"/>
      <c r="D613" s="129"/>
      <c r="E613" s="129"/>
      <c r="F613" s="129"/>
    </row>
    <row r="614" spans="2:6" x14ac:dyDescent="0.2">
      <c r="B614" s="129"/>
      <c r="C614" s="129"/>
      <c r="D614" s="129"/>
      <c r="E614" s="129"/>
      <c r="F614" s="129"/>
    </row>
    <row r="615" spans="2:6" x14ac:dyDescent="0.2">
      <c r="B615" s="129"/>
      <c r="C615" s="129"/>
      <c r="D615" s="129"/>
      <c r="E615" s="129"/>
      <c r="F615" s="129"/>
    </row>
    <row r="616" spans="2:6" x14ac:dyDescent="0.2">
      <c r="B616" s="129"/>
      <c r="C616" s="129"/>
      <c r="D616" s="129"/>
      <c r="E616" s="129"/>
      <c r="F616" s="129"/>
    </row>
    <row r="617" spans="2:6" x14ac:dyDescent="0.2">
      <c r="B617" s="129"/>
      <c r="C617" s="129"/>
      <c r="D617" s="129"/>
      <c r="E617" s="129"/>
      <c r="F617" s="129"/>
    </row>
    <row r="618" spans="2:6" x14ac:dyDescent="0.2">
      <c r="B618" s="129"/>
      <c r="C618" s="129"/>
      <c r="D618" s="129"/>
      <c r="E618" s="129"/>
      <c r="F618" s="129"/>
    </row>
    <row r="619" spans="2:6" x14ac:dyDescent="0.2">
      <c r="B619" s="129"/>
      <c r="C619" s="129"/>
      <c r="D619" s="129"/>
      <c r="E619" s="129"/>
      <c r="F619" s="129"/>
    </row>
    <row r="620" spans="2:6" x14ac:dyDescent="0.2">
      <c r="B620" s="129"/>
      <c r="C620" s="129"/>
      <c r="D620" s="129"/>
      <c r="E620" s="129"/>
      <c r="F620" s="129"/>
    </row>
    <row r="621" spans="2:6" x14ac:dyDescent="0.2">
      <c r="B621" s="129"/>
      <c r="C621" s="129"/>
      <c r="D621" s="129"/>
      <c r="E621" s="129"/>
      <c r="F621" s="129"/>
    </row>
    <row r="622" spans="2:6" x14ac:dyDescent="0.2">
      <c r="B622" s="129"/>
      <c r="C622" s="129"/>
      <c r="D622" s="129"/>
      <c r="E622" s="129"/>
      <c r="F622" s="129"/>
    </row>
    <row r="623" spans="2:6" x14ac:dyDescent="0.2">
      <c r="B623" s="129"/>
      <c r="C623" s="129"/>
      <c r="D623" s="129"/>
      <c r="E623" s="129"/>
      <c r="F623" s="129"/>
    </row>
    <row r="624" spans="2:6" x14ac:dyDescent="0.2">
      <c r="B624" s="129"/>
      <c r="C624" s="129"/>
      <c r="D624" s="129"/>
      <c r="E624" s="129"/>
      <c r="F624" s="129"/>
    </row>
    <row r="625" spans="2:6" x14ac:dyDescent="0.2">
      <c r="B625" s="129"/>
      <c r="C625" s="129"/>
      <c r="D625" s="129"/>
      <c r="E625" s="129"/>
      <c r="F625" s="129"/>
    </row>
    <row r="626" spans="2:6" x14ac:dyDescent="0.2">
      <c r="B626" s="129"/>
      <c r="C626" s="129"/>
      <c r="D626" s="129"/>
      <c r="E626" s="129"/>
      <c r="F626" s="129"/>
    </row>
    <row r="627" spans="2:6" x14ac:dyDescent="0.2">
      <c r="B627" s="129"/>
      <c r="C627" s="129"/>
      <c r="D627" s="129"/>
      <c r="E627" s="129"/>
      <c r="F627" s="129"/>
    </row>
    <row r="628" spans="2:6" x14ac:dyDescent="0.2">
      <c r="B628" s="129"/>
      <c r="C628" s="129"/>
      <c r="D628" s="129"/>
      <c r="E628" s="129"/>
      <c r="F628" s="129"/>
    </row>
    <row r="629" spans="2:6" x14ac:dyDescent="0.2">
      <c r="B629" s="129"/>
      <c r="C629" s="129"/>
      <c r="D629" s="129"/>
      <c r="E629" s="129"/>
      <c r="F629" s="129"/>
    </row>
    <row r="630" spans="2:6" x14ac:dyDescent="0.2">
      <c r="B630" s="129"/>
      <c r="C630" s="129"/>
      <c r="D630" s="129"/>
      <c r="E630" s="129"/>
      <c r="F630" s="129"/>
    </row>
    <row r="631" spans="2:6" x14ac:dyDescent="0.2">
      <c r="B631" s="129"/>
      <c r="C631" s="129"/>
      <c r="D631" s="129"/>
      <c r="E631" s="129"/>
      <c r="F631" s="129"/>
    </row>
    <row r="632" spans="2:6" x14ac:dyDescent="0.2">
      <c r="B632" s="129"/>
      <c r="C632" s="129"/>
      <c r="D632" s="129"/>
      <c r="E632" s="129"/>
      <c r="F632" s="129"/>
    </row>
    <row r="633" spans="2:6" x14ac:dyDescent="0.2">
      <c r="B633" s="129"/>
      <c r="C633" s="129"/>
      <c r="D633" s="129"/>
      <c r="E633" s="129"/>
      <c r="F633" s="129"/>
    </row>
    <row r="634" spans="2:6" x14ac:dyDescent="0.2">
      <c r="B634" s="129"/>
      <c r="C634" s="129"/>
      <c r="D634" s="129"/>
      <c r="E634" s="129"/>
      <c r="F634" s="129"/>
    </row>
    <row r="635" spans="2:6" x14ac:dyDescent="0.2">
      <c r="B635" s="129"/>
      <c r="C635" s="129"/>
      <c r="D635" s="129"/>
      <c r="E635" s="129"/>
      <c r="F635" s="129"/>
    </row>
    <row r="636" spans="2:6" x14ac:dyDescent="0.2">
      <c r="B636" s="129"/>
      <c r="C636" s="129"/>
      <c r="D636" s="129"/>
      <c r="E636" s="129"/>
      <c r="F636" s="129"/>
    </row>
    <row r="637" spans="2:6" x14ac:dyDescent="0.2">
      <c r="B637" s="129"/>
      <c r="C637" s="129"/>
      <c r="D637" s="129"/>
      <c r="E637" s="129"/>
      <c r="F637" s="129"/>
    </row>
    <row r="638" spans="2:6" x14ac:dyDescent="0.2">
      <c r="B638" s="129"/>
      <c r="C638" s="129"/>
      <c r="D638" s="129"/>
      <c r="E638" s="129"/>
      <c r="F638" s="129"/>
    </row>
    <row r="639" spans="2:6" x14ac:dyDescent="0.2">
      <c r="B639" s="129"/>
      <c r="C639" s="129"/>
      <c r="D639" s="129"/>
      <c r="E639" s="129"/>
      <c r="F639" s="129"/>
    </row>
    <row r="640" spans="2:6" x14ac:dyDescent="0.2">
      <c r="B640" s="129"/>
      <c r="C640" s="129"/>
      <c r="D640" s="129"/>
      <c r="E640" s="129"/>
      <c r="F640" s="129"/>
    </row>
    <row r="641" spans="2:6" x14ac:dyDescent="0.2">
      <c r="B641" s="129"/>
      <c r="C641" s="129"/>
      <c r="D641" s="129"/>
      <c r="E641" s="129"/>
      <c r="F641" s="129"/>
    </row>
    <row r="642" spans="2:6" x14ac:dyDescent="0.2">
      <c r="B642" s="129"/>
      <c r="C642" s="129"/>
      <c r="D642" s="129"/>
      <c r="E642" s="129"/>
      <c r="F642" s="129"/>
    </row>
    <row r="643" spans="2:6" x14ac:dyDescent="0.2">
      <c r="B643" s="129"/>
      <c r="C643" s="129"/>
      <c r="D643" s="129"/>
      <c r="E643" s="129"/>
      <c r="F643" s="129"/>
    </row>
    <row r="644" spans="2:6" x14ac:dyDescent="0.2">
      <c r="B644" s="129"/>
      <c r="C644" s="129"/>
      <c r="D644" s="129"/>
      <c r="E644" s="129"/>
      <c r="F644" s="129"/>
    </row>
    <row r="645" spans="2:6" x14ac:dyDescent="0.2">
      <c r="B645" s="129"/>
      <c r="C645" s="129"/>
      <c r="D645" s="129"/>
      <c r="E645" s="129"/>
      <c r="F645" s="129"/>
    </row>
    <row r="646" spans="2:6" x14ac:dyDescent="0.2">
      <c r="B646" s="129"/>
      <c r="C646" s="129"/>
      <c r="D646" s="129"/>
      <c r="E646" s="129"/>
      <c r="F646" s="129"/>
    </row>
    <row r="647" spans="2:6" x14ac:dyDescent="0.2">
      <c r="B647" s="129"/>
      <c r="C647" s="129"/>
      <c r="D647" s="129"/>
      <c r="E647" s="129"/>
      <c r="F647" s="129"/>
    </row>
    <row r="648" spans="2:6" x14ac:dyDescent="0.2">
      <c r="B648" s="129"/>
      <c r="C648" s="129"/>
      <c r="D648" s="129"/>
      <c r="E648" s="129"/>
      <c r="F648" s="129"/>
    </row>
    <row r="649" spans="2:6" x14ac:dyDescent="0.2">
      <c r="B649" s="129"/>
      <c r="C649" s="129"/>
      <c r="D649" s="129"/>
      <c r="E649" s="129"/>
      <c r="F649" s="129"/>
    </row>
    <row r="650" spans="2:6" x14ac:dyDescent="0.2">
      <c r="B650" s="129"/>
      <c r="C650" s="129"/>
      <c r="D650" s="129"/>
      <c r="E650" s="129"/>
      <c r="F650" s="129"/>
    </row>
    <row r="651" spans="2:6" x14ac:dyDescent="0.2">
      <c r="B651" s="129"/>
      <c r="C651" s="129"/>
      <c r="D651" s="129"/>
      <c r="E651" s="129"/>
      <c r="F651" s="129"/>
    </row>
    <row r="652" spans="2:6" x14ac:dyDescent="0.2">
      <c r="B652" s="129"/>
      <c r="C652" s="129"/>
      <c r="D652" s="129"/>
      <c r="E652" s="129"/>
      <c r="F652" s="129"/>
    </row>
    <row r="653" spans="2:6" x14ac:dyDescent="0.2">
      <c r="B653" s="129"/>
      <c r="C653" s="129"/>
      <c r="D653" s="129"/>
      <c r="E653" s="129"/>
      <c r="F653" s="129"/>
    </row>
    <row r="654" spans="2:6" x14ac:dyDescent="0.2">
      <c r="B654" s="129"/>
      <c r="C654" s="129"/>
      <c r="D654" s="129"/>
      <c r="E654" s="129"/>
      <c r="F654" s="129"/>
    </row>
    <row r="655" spans="2:6" x14ac:dyDescent="0.2">
      <c r="B655" s="129"/>
      <c r="C655" s="129"/>
      <c r="D655" s="129"/>
      <c r="E655" s="129"/>
      <c r="F655" s="129"/>
    </row>
    <row r="656" spans="2:6" x14ac:dyDescent="0.2">
      <c r="B656" s="129"/>
      <c r="C656" s="129"/>
      <c r="D656" s="129"/>
      <c r="E656" s="129"/>
      <c r="F656" s="129"/>
    </row>
    <row r="657" spans="2:6" x14ac:dyDescent="0.2">
      <c r="B657" s="129"/>
      <c r="C657" s="129"/>
      <c r="D657" s="129"/>
      <c r="E657" s="129"/>
      <c r="F657" s="129"/>
    </row>
    <row r="658" spans="2:6" x14ac:dyDescent="0.2">
      <c r="B658" s="129"/>
      <c r="C658" s="129"/>
      <c r="D658" s="129"/>
      <c r="E658" s="129"/>
      <c r="F658" s="129"/>
    </row>
    <row r="659" spans="2:6" x14ac:dyDescent="0.2">
      <c r="B659" s="129"/>
      <c r="C659" s="129"/>
      <c r="D659" s="129"/>
      <c r="E659" s="129"/>
      <c r="F659" s="129"/>
    </row>
    <row r="660" spans="2:6" x14ac:dyDescent="0.2">
      <c r="B660" s="129"/>
      <c r="C660" s="129"/>
      <c r="D660" s="129"/>
      <c r="E660" s="129"/>
      <c r="F660" s="129"/>
    </row>
    <row r="661" spans="2:6" x14ac:dyDescent="0.2">
      <c r="B661" s="129"/>
      <c r="C661" s="129"/>
      <c r="D661" s="129"/>
      <c r="E661" s="129"/>
      <c r="F661" s="129"/>
    </row>
    <row r="662" spans="2:6" x14ac:dyDescent="0.2">
      <c r="B662" s="129"/>
      <c r="C662" s="129"/>
      <c r="D662" s="129"/>
      <c r="E662" s="129"/>
      <c r="F662" s="129"/>
    </row>
    <row r="663" spans="2:6" x14ac:dyDescent="0.2">
      <c r="B663" s="129"/>
      <c r="C663" s="129"/>
      <c r="D663" s="129"/>
      <c r="E663" s="129"/>
      <c r="F663" s="129"/>
    </row>
    <row r="664" spans="2:6" x14ac:dyDescent="0.2">
      <c r="B664" s="129"/>
      <c r="C664" s="129"/>
      <c r="D664" s="129"/>
      <c r="E664" s="129"/>
      <c r="F664" s="129"/>
    </row>
    <row r="665" spans="2:6" x14ac:dyDescent="0.2">
      <c r="B665" s="129"/>
      <c r="C665" s="129"/>
      <c r="D665" s="129"/>
      <c r="E665" s="129"/>
      <c r="F665" s="129"/>
    </row>
    <row r="666" spans="2:6" x14ac:dyDescent="0.2">
      <c r="B666" s="129"/>
      <c r="C666" s="129"/>
      <c r="D666" s="129"/>
      <c r="E666" s="129"/>
      <c r="F666" s="129"/>
    </row>
    <row r="667" spans="2:6" x14ac:dyDescent="0.2">
      <c r="B667" s="129"/>
      <c r="C667" s="129"/>
      <c r="D667" s="129"/>
      <c r="E667" s="129"/>
      <c r="F667" s="129"/>
    </row>
    <row r="668" spans="2:6" x14ac:dyDescent="0.2">
      <c r="B668" s="129"/>
      <c r="C668" s="129"/>
      <c r="D668" s="129"/>
      <c r="E668" s="129"/>
      <c r="F668" s="129"/>
    </row>
    <row r="669" spans="2:6" x14ac:dyDescent="0.2">
      <c r="B669" s="129"/>
      <c r="C669" s="129"/>
      <c r="D669" s="129"/>
      <c r="E669" s="129"/>
      <c r="F669" s="129"/>
    </row>
    <row r="670" spans="2:6" x14ac:dyDescent="0.2">
      <c r="B670" s="129"/>
      <c r="C670" s="129"/>
      <c r="D670" s="129"/>
      <c r="E670" s="129"/>
      <c r="F670" s="129"/>
    </row>
    <row r="671" spans="2:6" x14ac:dyDescent="0.2">
      <c r="B671" s="129"/>
      <c r="C671" s="129"/>
      <c r="D671" s="129"/>
      <c r="E671" s="129"/>
      <c r="F671" s="129"/>
    </row>
    <row r="672" spans="2:6" x14ac:dyDescent="0.2">
      <c r="B672" s="129"/>
      <c r="C672" s="129"/>
      <c r="D672" s="129"/>
      <c r="E672" s="129"/>
      <c r="F672" s="129"/>
    </row>
    <row r="673" spans="2:6" x14ac:dyDescent="0.2">
      <c r="B673" s="129"/>
      <c r="C673" s="129"/>
      <c r="D673" s="129"/>
      <c r="E673" s="129"/>
      <c r="F673" s="129"/>
    </row>
    <row r="674" spans="2:6" x14ac:dyDescent="0.2">
      <c r="B674" s="129"/>
      <c r="C674" s="129"/>
      <c r="D674" s="129"/>
      <c r="E674" s="129"/>
      <c r="F674" s="129"/>
    </row>
    <row r="675" spans="2:6" x14ac:dyDescent="0.2">
      <c r="B675" s="129"/>
      <c r="C675" s="129"/>
      <c r="D675" s="129"/>
      <c r="E675" s="129"/>
      <c r="F675" s="129"/>
    </row>
    <row r="676" spans="2:6" x14ac:dyDescent="0.2">
      <c r="B676" s="129"/>
      <c r="C676" s="129"/>
      <c r="D676" s="129"/>
      <c r="E676" s="129"/>
      <c r="F676" s="129"/>
    </row>
    <row r="677" spans="2:6" x14ac:dyDescent="0.2">
      <c r="B677" s="129"/>
      <c r="C677" s="129"/>
      <c r="D677" s="129"/>
      <c r="E677" s="129"/>
      <c r="F677" s="129"/>
    </row>
    <row r="678" spans="2:6" x14ac:dyDescent="0.2">
      <c r="B678" s="129"/>
      <c r="C678" s="129"/>
      <c r="D678" s="129"/>
      <c r="E678" s="129"/>
      <c r="F678" s="129"/>
    </row>
    <row r="679" spans="2:6" x14ac:dyDescent="0.2">
      <c r="B679" s="129"/>
      <c r="C679" s="129"/>
      <c r="D679" s="129"/>
      <c r="E679" s="129"/>
      <c r="F679" s="129"/>
    </row>
    <row r="680" spans="2:6" x14ac:dyDescent="0.2">
      <c r="B680" s="129"/>
      <c r="C680" s="129"/>
      <c r="D680" s="129"/>
      <c r="E680" s="129"/>
      <c r="F680" s="129"/>
    </row>
    <row r="681" spans="2:6" x14ac:dyDescent="0.2">
      <c r="B681" s="129"/>
      <c r="C681" s="129"/>
      <c r="D681" s="129"/>
      <c r="E681" s="129"/>
      <c r="F681" s="129"/>
    </row>
    <row r="682" spans="2:6" x14ac:dyDescent="0.2">
      <c r="B682" s="129"/>
      <c r="C682" s="129"/>
      <c r="D682" s="129"/>
      <c r="E682" s="129"/>
      <c r="F682" s="129"/>
    </row>
    <row r="683" spans="2:6" x14ac:dyDescent="0.2">
      <c r="B683" s="129"/>
      <c r="C683" s="129"/>
      <c r="D683" s="129"/>
      <c r="E683" s="129"/>
      <c r="F683" s="129"/>
    </row>
    <row r="684" spans="2:6" x14ac:dyDescent="0.2">
      <c r="B684" s="129"/>
      <c r="C684" s="129"/>
      <c r="D684" s="129"/>
      <c r="E684" s="129"/>
      <c r="F684" s="129"/>
    </row>
    <row r="685" spans="2:6" x14ac:dyDescent="0.2">
      <c r="B685" s="129"/>
      <c r="C685" s="129"/>
      <c r="D685" s="129"/>
      <c r="E685" s="129"/>
      <c r="F685" s="129"/>
    </row>
    <row r="686" spans="2:6" x14ac:dyDescent="0.2">
      <c r="B686" s="129"/>
      <c r="C686" s="129"/>
      <c r="D686" s="129"/>
      <c r="E686" s="129"/>
      <c r="F686" s="129"/>
    </row>
    <row r="687" spans="2:6" x14ac:dyDescent="0.2">
      <c r="B687" s="129"/>
      <c r="C687" s="129"/>
      <c r="D687" s="129"/>
      <c r="E687" s="129"/>
      <c r="F687" s="129"/>
    </row>
    <row r="688" spans="2:6" x14ac:dyDescent="0.2">
      <c r="B688" s="129"/>
      <c r="C688" s="129"/>
      <c r="D688" s="129"/>
      <c r="E688" s="129"/>
      <c r="F688" s="129"/>
    </row>
    <row r="689" spans="2:6" x14ac:dyDescent="0.2">
      <c r="B689" s="129"/>
      <c r="C689" s="129"/>
      <c r="D689" s="129"/>
      <c r="E689" s="129"/>
      <c r="F689" s="129"/>
    </row>
    <row r="690" spans="2:6" x14ac:dyDescent="0.2">
      <c r="B690" s="129"/>
      <c r="C690" s="129"/>
      <c r="D690" s="129"/>
      <c r="E690" s="129"/>
      <c r="F690" s="129"/>
    </row>
    <row r="691" spans="2:6" x14ac:dyDescent="0.2">
      <c r="B691" s="129"/>
      <c r="C691" s="129"/>
      <c r="D691" s="129"/>
      <c r="E691" s="129"/>
      <c r="F691" s="129"/>
    </row>
    <row r="692" spans="2:6" x14ac:dyDescent="0.2">
      <c r="B692" s="129"/>
      <c r="C692" s="129"/>
      <c r="D692" s="129"/>
      <c r="E692" s="129"/>
      <c r="F692" s="129"/>
    </row>
    <row r="693" spans="2:6" x14ac:dyDescent="0.2">
      <c r="B693" s="129"/>
      <c r="C693" s="129"/>
      <c r="D693" s="129"/>
      <c r="E693" s="129"/>
      <c r="F693" s="129"/>
    </row>
    <row r="694" spans="2:6" x14ac:dyDescent="0.2">
      <c r="B694" s="129"/>
      <c r="C694" s="129"/>
      <c r="D694" s="129"/>
      <c r="E694" s="129"/>
      <c r="F694" s="129"/>
    </row>
    <row r="695" spans="2:6" x14ac:dyDescent="0.2">
      <c r="B695" s="129"/>
      <c r="C695" s="129"/>
      <c r="D695" s="129"/>
      <c r="E695" s="129"/>
      <c r="F695" s="129"/>
    </row>
    <row r="696" spans="2:6" x14ac:dyDescent="0.2">
      <c r="B696" s="129"/>
      <c r="C696" s="129"/>
      <c r="D696" s="129"/>
      <c r="E696" s="129"/>
      <c r="F696" s="129"/>
    </row>
    <row r="697" spans="2:6" x14ac:dyDescent="0.2">
      <c r="B697" s="129"/>
      <c r="C697" s="129"/>
      <c r="D697" s="129"/>
      <c r="E697" s="129"/>
      <c r="F697" s="129"/>
    </row>
    <row r="698" spans="2:6" x14ac:dyDescent="0.2">
      <c r="B698" s="129"/>
      <c r="C698" s="129"/>
      <c r="D698" s="129"/>
      <c r="E698" s="129"/>
      <c r="F698" s="129"/>
    </row>
    <row r="699" spans="2:6" x14ac:dyDescent="0.2">
      <c r="B699" s="129"/>
      <c r="C699" s="129"/>
      <c r="D699" s="129"/>
      <c r="E699" s="129"/>
      <c r="F699" s="129"/>
    </row>
    <row r="700" spans="2:6" x14ac:dyDescent="0.2">
      <c r="B700" s="129"/>
      <c r="C700" s="129"/>
      <c r="D700" s="129"/>
      <c r="E700" s="129"/>
      <c r="F700" s="129"/>
    </row>
    <row r="701" spans="2:6" x14ac:dyDescent="0.2">
      <c r="B701" s="129"/>
      <c r="C701" s="129"/>
      <c r="D701" s="129"/>
      <c r="E701" s="129"/>
      <c r="F701" s="129"/>
    </row>
    <row r="702" spans="2:6" x14ac:dyDescent="0.2">
      <c r="B702" s="129"/>
      <c r="C702" s="129"/>
      <c r="D702" s="129"/>
      <c r="E702" s="129"/>
      <c r="F702" s="129"/>
    </row>
    <row r="703" spans="2:6" x14ac:dyDescent="0.2">
      <c r="B703" s="129"/>
      <c r="C703" s="129"/>
      <c r="D703" s="129"/>
      <c r="E703" s="129"/>
      <c r="F703" s="129"/>
    </row>
    <row r="704" spans="2:6" x14ac:dyDescent="0.2">
      <c r="B704" s="129"/>
      <c r="C704" s="129"/>
      <c r="D704" s="129"/>
      <c r="E704" s="129"/>
      <c r="F704" s="129"/>
    </row>
    <row r="705" spans="2:6" x14ac:dyDescent="0.2">
      <c r="B705" s="129"/>
      <c r="C705" s="129"/>
      <c r="D705" s="129"/>
      <c r="E705" s="129"/>
      <c r="F705" s="129"/>
    </row>
    <row r="706" spans="2:6" x14ac:dyDescent="0.2">
      <c r="B706" s="129"/>
      <c r="C706" s="129"/>
      <c r="D706" s="129"/>
      <c r="E706" s="129"/>
      <c r="F706" s="129"/>
    </row>
    <row r="707" spans="2:6" x14ac:dyDescent="0.2">
      <c r="B707" s="129"/>
      <c r="C707" s="129"/>
      <c r="D707" s="129"/>
      <c r="E707" s="129"/>
      <c r="F707" s="129"/>
    </row>
    <row r="708" spans="2:6" x14ac:dyDescent="0.2">
      <c r="B708" s="129"/>
      <c r="C708" s="129"/>
      <c r="D708" s="129"/>
      <c r="E708" s="129"/>
      <c r="F708" s="129"/>
    </row>
    <row r="709" spans="2:6" x14ac:dyDescent="0.2">
      <c r="B709" s="129"/>
      <c r="C709" s="129"/>
      <c r="D709" s="129"/>
      <c r="E709" s="129"/>
      <c r="F709" s="129"/>
    </row>
    <row r="710" spans="2:6" x14ac:dyDescent="0.2">
      <c r="B710" s="129"/>
      <c r="C710" s="129"/>
      <c r="D710" s="129"/>
      <c r="E710" s="129"/>
      <c r="F710" s="129"/>
    </row>
    <row r="711" spans="2:6" x14ac:dyDescent="0.2">
      <c r="B711" s="129"/>
      <c r="C711" s="129"/>
      <c r="D711" s="129"/>
      <c r="E711" s="129"/>
      <c r="F711" s="129"/>
    </row>
    <row r="712" spans="2:6" x14ac:dyDescent="0.2">
      <c r="B712" s="129"/>
      <c r="C712" s="129"/>
      <c r="D712" s="129"/>
      <c r="E712" s="129"/>
      <c r="F712" s="129"/>
    </row>
    <row r="713" spans="2:6" x14ac:dyDescent="0.2">
      <c r="B713" s="129"/>
      <c r="C713" s="129"/>
      <c r="D713" s="129"/>
      <c r="E713" s="129"/>
      <c r="F713" s="129"/>
    </row>
    <row r="714" spans="2:6" x14ac:dyDescent="0.2">
      <c r="B714" s="129"/>
      <c r="C714" s="129"/>
      <c r="D714" s="129"/>
      <c r="E714" s="129"/>
      <c r="F714" s="129"/>
    </row>
    <row r="715" spans="2:6" x14ac:dyDescent="0.2">
      <c r="B715" s="129"/>
      <c r="C715" s="129"/>
      <c r="D715" s="129"/>
      <c r="E715" s="129"/>
      <c r="F715" s="129"/>
    </row>
    <row r="716" spans="2:6" x14ac:dyDescent="0.2">
      <c r="B716" s="129"/>
      <c r="C716" s="129"/>
      <c r="D716" s="129"/>
      <c r="E716" s="129"/>
      <c r="F716" s="129"/>
    </row>
    <row r="717" spans="2:6" x14ac:dyDescent="0.2">
      <c r="B717" s="129"/>
      <c r="C717" s="129"/>
      <c r="D717" s="129"/>
      <c r="E717" s="129"/>
      <c r="F717" s="129"/>
    </row>
    <row r="718" spans="2:6" x14ac:dyDescent="0.2">
      <c r="B718" s="129"/>
      <c r="C718" s="129"/>
      <c r="D718" s="129"/>
      <c r="E718" s="129"/>
      <c r="F718" s="129"/>
    </row>
    <row r="719" spans="2:6" x14ac:dyDescent="0.2">
      <c r="B719" s="129"/>
      <c r="C719" s="129"/>
      <c r="D719" s="129"/>
      <c r="E719" s="129"/>
      <c r="F719" s="129"/>
    </row>
    <row r="720" spans="2:6" x14ac:dyDescent="0.2">
      <c r="B720" s="129"/>
      <c r="C720" s="129"/>
      <c r="D720" s="129"/>
      <c r="E720" s="129"/>
      <c r="F720" s="129"/>
    </row>
    <row r="721" spans="2:6" x14ac:dyDescent="0.2">
      <c r="B721" s="129"/>
      <c r="C721" s="129"/>
      <c r="D721" s="129"/>
      <c r="E721" s="129"/>
      <c r="F721" s="129"/>
    </row>
    <row r="722" spans="2:6" x14ac:dyDescent="0.2">
      <c r="B722" s="129"/>
      <c r="C722" s="129"/>
      <c r="D722" s="129"/>
      <c r="E722" s="129"/>
      <c r="F722" s="129"/>
    </row>
    <row r="723" spans="2:6" x14ac:dyDescent="0.2">
      <c r="B723" s="129"/>
      <c r="C723" s="129"/>
      <c r="D723" s="129"/>
      <c r="E723" s="129"/>
      <c r="F723" s="129"/>
    </row>
    <row r="724" spans="2:6" x14ac:dyDescent="0.2">
      <c r="B724" s="129"/>
      <c r="C724" s="129"/>
      <c r="D724" s="129"/>
      <c r="E724" s="129"/>
      <c r="F724" s="129"/>
    </row>
    <row r="725" spans="2:6" x14ac:dyDescent="0.2">
      <c r="B725" s="129"/>
      <c r="C725" s="129"/>
      <c r="D725" s="129"/>
      <c r="E725" s="129"/>
      <c r="F725" s="129"/>
    </row>
    <row r="726" spans="2:6" x14ac:dyDescent="0.2">
      <c r="B726" s="129"/>
      <c r="C726" s="129"/>
      <c r="D726" s="129"/>
      <c r="E726" s="129"/>
      <c r="F726" s="129"/>
    </row>
    <row r="727" spans="2:6" x14ac:dyDescent="0.2">
      <c r="B727" s="129"/>
      <c r="C727" s="129"/>
      <c r="D727" s="129"/>
      <c r="E727" s="129"/>
      <c r="F727" s="129"/>
    </row>
    <row r="728" spans="2:6" x14ac:dyDescent="0.2">
      <c r="B728" s="129"/>
      <c r="C728" s="129"/>
      <c r="D728" s="129"/>
      <c r="E728" s="129"/>
      <c r="F728" s="129"/>
    </row>
    <row r="729" spans="2:6" x14ac:dyDescent="0.2">
      <c r="B729" s="129"/>
      <c r="C729" s="129"/>
      <c r="D729" s="129"/>
      <c r="E729" s="129"/>
      <c r="F729" s="129"/>
    </row>
    <row r="730" spans="2:6" x14ac:dyDescent="0.2">
      <c r="B730" s="129"/>
      <c r="C730" s="129"/>
      <c r="D730" s="129"/>
      <c r="E730" s="129"/>
      <c r="F730" s="129"/>
    </row>
    <row r="731" spans="2:6" x14ac:dyDescent="0.2">
      <c r="B731" s="129"/>
      <c r="C731" s="129"/>
      <c r="D731" s="129"/>
      <c r="E731" s="129"/>
      <c r="F731" s="129"/>
    </row>
    <row r="732" spans="2:6" x14ac:dyDescent="0.2">
      <c r="B732" s="129"/>
      <c r="C732" s="129"/>
      <c r="D732" s="129"/>
      <c r="E732" s="129"/>
      <c r="F732" s="129"/>
    </row>
    <row r="733" spans="2:6" x14ac:dyDescent="0.2">
      <c r="B733" s="129"/>
      <c r="C733" s="129"/>
      <c r="D733" s="129"/>
      <c r="E733" s="129"/>
      <c r="F733" s="129"/>
    </row>
    <row r="734" spans="2:6" x14ac:dyDescent="0.2">
      <c r="B734" s="129"/>
      <c r="C734" s="129"/>
      <c r="D734" s="129"/>
      <c r="E734" s="129"/>
      <c r="F734" s="129"/>
    </row>
    <row r="735" spans="2:6" x14ac:dyDescent="0.2">
      <c r="B735" s="129"/>
      <c r="C735" s="129"/>
      <c r="D735" s="129"/>
      <c r="E735" s="129"/>
      <c r="F735" s="129"/>
    </row>
    <row r="736" spans="2:6" x14ac:dyDescent="0.2">
      <c r="B736" s="129"/>
      <c r="C736" s="129"/>
      <c r="D736" s="129"/>
      <c r="E736" s="129"/>
      <c r="F736" s="129"/>
    </row>
    <row r="737" spans="2:6" x14ac:dyDescent="0.2">
      <c r="B737" s="129"/>
      <c r="C737" s="129"/>
      <c r="D737" s="129"/>
      <c r="E737" s="129"/>
      <c r="F737" s="129"/>
    </row>
    <row r="738" spans="2:6" x14ac:dyDescent="0.2">
      <c r="B738" s="129"/>
      <c r="C738" s="129"/>
      <c r="D738" s="129"/>
      <c r="E738" s="129"/>
      <c r="F738" s="129"/>
    </row>
    <row r="739" spans="2:6" x14ac:dyDescent="0.2">
      <c r="B739" s="129"/>
      <c r="C739" s="129"/>
      <c r="D739" s="129"/>
      <c r="E739" s="129"/>
      <c r="F739" s="129"/>
    </row>
    <row r="740" spans="2:6" x14ac:dyDescent="0.2">
      <c r="B740" s="129"/>
      <c r="C740" s="129"/>
      <c r="D740" s="129"/>
      <c r="E740" s="129"/>
      <c r="F740" s="129"/>
    </row>
    <row r="741" spans="2:6" x14ac:dyDescent="0.2">
      <c r="B741" s="129"/>
      <c r="C741" s="129"/>
      <c r="D741" s="129"/>
      <c r="E741" s="129"/>
      <c r="F741" s="129"/>
    </row>
    <row r="742" spans="2:6" x14ac:dyDescent="0.2">
      <c r="B742" s="129"/>
      <c r="C742" s="129"/>
      <c r="D742" s="129"/>
      <c r="E742" s="129"/>
      <c r="F742" s="129"/>
    </row>
    <row r="743" spans="2:6" x14ac:dyDescent="0.2">
      <c r="B743" s="129"/>
      <c r="C743" s="129"/>
      <c r="D743" s="129"/>
      <c r="E743" s="129"/>
      <c r="F743" s="129"/>
    </row>
    <row r="744" spans="2:6" x14ac:dyDescent="0.2">
      <c r="B744" s="129"/>
      <c r="C744" s="129"/>
      <c r="D744" s="129"/>
      <c r="E744" s="129"/>
      <c r="F744" s="129"/>
    </row>
    <row r="745" spans="2:6" x14ac:dyDescent="0.2">
      <c r="B745" s="129"/>
      <c r="C745" s="129"/>
      <c r="D745" s="129"/>
      <c r="E745" s="129"/>
      <c r="F745" s="129"/>
    </row>
    <row r="746" spans="2:6" x14ac:dyDescent="0.2">
      <c r="B746" s="129"/>
      <c r="C746" s="129"/>
      <c r="D746" s="129"/>
      <c r="E746" s="129"/>
      <c r="F746" s="129"/>
    </row>
    <row r="747" spans="2:6" x14ac:dyDescent="0.2">
      <c r="B747" s="129"/>
      <c r="C747" s="129"/>
      <c r="D747" s="129"/>
      <c r="E747" s="129"/>
      <c r="F747" s="129"/>
    </row>
    <row r="748" spans="2:6" x14ac:dyDescent="0.2">
      <c r="B748" s="129"/>
      <c r="C748" s="129"/>
      <c r="D748" s="129"/>
      <c r="E748" s="129"/>
      <c r="F748" s="129"/>
    </row>
    <row r="749" spans="2:6" x14ac:dyDescent="0.2">
      <c r="B749" s="129"/>
      <c r="C749" s="129"/>
      <c r="D749" s="129"/>
      <c r="E749" s="129"/>
      <c r="F749" s="129"/>
    </row>
    <row r="750" spans="2:6" x14ac:dyDescent="0.2">
      <c r="B750" s="129"/>
      <c r="C750" s="129"/>
      <c r="D750" s="129"/>
      <c r="E750" s="129"/>
      <c r="F750" s="129"/>
    </row>
    <row r="751" spans="2:6" x14ac:dyDescent="0.2">
      <c r="B751" s="129"/>
      <c r="C751" s="129"/>
      <c r="D751" s="129"/>
      <c r="E751" s="129"/>
      <c r="F751" s="129"/>
    </row>
    <row r="752" spans="2:6" x14ac:dyDescent="0.2">
      <c r="B752" s="129"/>
      <c r="C752" s="129"/>
      <c r="D752" s="129"/>
      <c r="E752" s="129"/>
      <c r="F752" s="129"/>
    </row>
    <row r="753" spans="2:6" x14ac:dyDescent="0.2">
      <c r="B753" s="129"/>
      <c r="C753" s="129"/>
      <c r="D753" s="129"/>
      <c r="E753" s="129"/>
      <c r="F753" s="129"/>
    </row>
    <row r="754" spans="2:6" x14ac:dyDescent="0.2">
      <c r="B754" s="129"/>
      <c r="C754" s="129"/>
      <c r="D754" s="129"/>
      <c r="E754" s="129"/>
      <c r="F754" s="129"/>
    </row>
    <row r="755" spans="2:6" x14ac:dyDescent="0.2">
      <c r="B755" s="129"/>
      <c r="C755" s="129"/>
      <c r="D755" s="129"/>
      <c r="E755" s="129"/>
      <c r="F755" s="129"/>
    </row>
    <row r="756" spans="2:6" x14ac:dyDescent="0.2">
      <c r="B756" s="129"/>
      <c r="C756" s="129"/>
      <c r="D756" s="129"/>
      <c r="E756" s="129"/>
      <c r="F756" s="129"/>
    </row>
    <row r="757" spans="2:6" x14ac:dyDescent="0.2">
      <c r="B757" s="129"/>
      <c r="C757" s="129"/>
      <c r="D757" s="129"/>
      <c r="E757" s="129"/>
      <c r="F757" s="129"/>
    </row>
    <row r="758" spans="2:6" x14ac:dyDescent="0.2">
      <c r="B758" s="129"/>
      <c r="C758" s="129"/>
      <c r="D758" s="129"/>
      <c r="E758" s="129"/>
      <c r="F758" s="129"/>
    </row>
    <row r="759" spans="2:6" x14ac:dyDescent="0.2">
      <c r="B759" s="129"/>
      <c r="C759" s="129"/>
      <c r="D759" s="129"/>
      <c r="E759" s="129"/>
      <c r="F759" s="129"/>
    </row>
    <row r="760" spans="2:6" x14ac:dyDescent="0.2">
      <c r="B760" s="129"/>
      <c r="C760" s="129"/>
      <c r="D760" s="129"/>
      <c r="E760" s="129"/>
      <c r="F760" s="129"/>
    </row>
    <row r="761" spans="2:6" x14ac:dyDescent="0.2">
      <c r="B761" s="129"/>
      <c r="C761" s="129"/>
      <c r="D761" s="129"/>
      <c r="E761" s="129"/>
      <c r="F761" s="129"/>
    </row>
    <row r="762" spans="2:6" x14ac:dyDescent="0.2">
      <c r="B762" s="129"/>
      <c r="C762" s="129"/>
      <c r="D762" s="129"/>
      <c r="E762" s="129"/>
      <c r="F762" s="129"/>
    </row>
    <row r="763" spans="2:6" x14ac:dyDescent="0.2">
      <c r="B763" s="129"/>
      <c r="C763" s="129"/>
      <c r="D763" s="129"/>
      <c r="E763" s="129"/>
      <c r="F763" s="129"/>
    </row>
    <row r="764" spans="2:6" x14ac:dyDescent="0.2">
      <c r="B764" s="129"/>
      <c r="C764" s="129"/>
      <c r="D764" s="129"/>
      <c r="E764" s="129"/>
      <c r="F764" s="129"/>
    </row>
    <row r="765" spans="2:6" x14ac:dyDescent="0.2">
      <c r="B765" s="129"/>
      <c r="C765" s="129"/>
      <c r="D765" s="129"/>
      <c r="E765" s="129"/>
      <c r="F765" s="129"/>
    </row>
    <row r="766" spans="2:6" x14ac:dyDescent="0.2">
      <c r="B766" s="129"/>
      <c r="C766" s="129"/>
      <c r="D766" s="129"/>
      <c r="E766" s="129"/>
      <c r="F766" s="129"/>
    </row>
    <row r="767" spans="2:6" x14ac:dyDescent="0.2">
      <c r="B767" s="129"/>
      <c r="C767" s="129"/>
      <c r="D767" s="129"/>
      <c r="E767" s="129"/>
      <c r="F767" s="129"/>
    </row>
    <row r="768" spans="2:6" x14ac:dyDescent="0.2">
      <c r="B768" s="129"/>
      <c r="C768" s="129"/>
      <c r="D768" s="129"/>
      <c r="E768" s="129"/>
      <c r="F768" s="129"/>
    </row>
    <row r="769" spans="2:6" x14ac:dyDescent="0.2">
      <c r="B769" s="129"/>
      <c r="C769" s="129"/>
      <c r="D769" s="129"/>
      <c r="E769" s="129"/>
      <c r="F769" s="129"/>
    </row>
    <row r="770" spans="2:6" x14ac:dyDescent="0.2">
      <c r="B770" s="129"/>
      <c r="C770" s="129"/>
      <c r="D770" s="129"/>
      <c r="E770" s="129"/>
      <c r="F770" s="129"/>
    </row>
    <row r="771" spans="2:6" x14ac:dyDescent="0.2">
      <c r="B771" s="129"/>
      <c r="C771" s="129"/>
      <c r="D771" s="129"/>
      <c r="E771" s="129"/>
      <c r="F771" s="129"/>
    </row>
    <row r="772" spans="2:6" x14ac:dyDescent="0.2">
      <c r="B772" s="129"/>
      <c r="C772" s="129"/>
      <c r="D772" s="129"/>
      <c r="E772" s="129"/>
      <c r="F772" s="129"/>
    </row>
    <row r="773" spans="2:6" x14ac:dyDescent="0.2">
      <c r="B773" s="129"/>
      <c r="C773" s="129"/>
      <c r="D773" s="129"/>
      <c r="E773" s="129"/>
      <c r="F773" s="129"/>
    </row>
    <row r="774" spans="2:6" x14ac:dyDescent="0.2">
      <c r="B774" s="129"/>
      <c r="C774" s="129"/>
      <c r="D774" s="129"/>
      <c r="E774" s="129"/>
      <c r="F774" s="129"/>
    </row>
    <row r="775" spans="2:6" x14ac:dyDescent="0.2">
      <c r="B775" s="129"/>
      <c r="C775" s="129"/>
      <c r="D775" s="129"/>
      <c r="E775" s="129"/>
      <c r="F775" s="129"/>
    </row>
    <row r="776" spans="2:6" x14ac:dyDescent="0.2">
      <c r="B776" s="129"/>
      <c r="C776" s="129"/>
      <c r="D776" s="129"/>
      <c r="E776" s="129"/>
      <c r="F776" s="129"/>
    </row>
    <row r="777" spans="2:6" x14ac:dyDescent="0.2">
      <c r="B777" s="129"/>
      <c r="C777" s="129"/>
      <c r="D777" s="129"/>
      <c r="E777" s="129"/>
      <c r="F777" s="129"/>
    </row>
    <row r="778" spans="2:6" x14ac:dyDescent="0.2">
      <c r="B778" s="129"/>
      <c r="C778" s="129"/>
      <c r="D778" s="129"/>
      <c r="E778" s="129"/>
      <c r="F778" s="129"/>
    </row>
    <row r="779" spans="2:6" x14ac:dyDescent="0.2">
      <c r="B779" s="129"/>
      <c r="C779" s="129"/>
      <c r="D779" s="129"/>
      <c r="E779" s="129"/>
      <c r="F779" s="129"/>
    </row>
    <row r="780" spans="2:6" x14ac:dyDescent="0.2">
      <c r="B780" s="129"/>
      <c r="C780" s="129"/>
      <c r="D780" s="129"/>
      <c r="E780" s="129"/>
      <c r="F780" s="129"/>
    </row>
    <row r="781" spans="2:6" x14ac:dyDescent="0.2">
      <c r="B781" s="129"/>
      <c r="C781" s="129"/>
      <c r="D781" s="129"/>
      <c r="E781" s="129"/>
      <c r="F781" s="129"/>
    </row>
    <row r="782" spans="2:6" x14ac:dyDescent="0.2">
      <c r="B782" s="129"/>
      <c r="C782" s="129"/>
      <c r="D782" s="129"/>
      <c r="E782" s="129"/>
      <c r="F782" s="129"/>
    </row>
    <row r="783" spans="2:6" x14ac:dyDescent="0.2">
      <c r="B783" s="129"/>
      <c r="C783" s="129"/>
      <c r="D783" s="129"/>
      <c r="E783" s="129"/>
      <c r="F783" s="129"/>
    </row>
    <row r="784" spans="2:6" x14ac:dyDescent="0.2">
      <c r="B784" s="129"/>
      <c r="C784" s="129"/>
      <c r="D784" s="129"/>
      <c r="E784" s="129"/>
      <c r="F784" s="129"/>
    </row>
    <row r="785" spans="2:6" x14ac:dyDescent="0.2">
      <c r="B785" s="129"/>
      <c r="C785" s="129"/>
      <c r="D785" s="129"/>
      <c r="E785" s="129"/>
      <c r="F785" s="129"/>
    </row>
    <row r="786" spans="2:6" x14ac:dyDescent="0.2">
      <c r="B786" s="129"/>
      <c r="C786" s="129"/>
      <c r="D786" s="129"/>
      <c r="E786" s="129"/>
      <c r="F786" s="129"/>
    </row>
    <row r="787" spans="2:6" x14ac:dyDescent="0.2">
      <c r="B787" s="129"/>
      <c r="C787" s="129"/>
      <c r="D787" s="129"/>
      <c r="E787" s="129"/>
      <c r="F787" s="129"/>
    </row>
    <row r="788" spans="2:6" x14ac:dyDescent="0.2">
      <c r="B788" s="129"/>
      <c r="C788" s="129"/>
      <c r="D788" s="129"/>
      <c r="E788" s="129"/>
      <c r="F788" s="129"/>
    </row>
    <row r="789" spans="2:6" x14ac:dyDescent="0.2">
      <c r="B789" s="129"/>
      <c r="C789" s="129"/>
      <c r="D789" s="129"/>
      <c r="E789" s="129"/>
      <c r="F789" s="129"/>
    </row>
    <row r="790" spans="2:6" x14ac:dyDescent="0.2">
      <c r="B790" s="129"/>
      <c r="C790" s="129"/>
      <c r="D790" s="129"/>
      <c r="E790" s="129"/>
      <c r="F790" s="129"/>
    </row>
    <row r="791" spans="2:6" x14ac:dyDescent="0.2">
      <c r="B791" s="129"/>
      <c r="C791" s="129"/>
      <c r="D791" s="129"/>
      <c r="E791" s="129"/>
      <c r="F791" s="129"/>
    </row>
    <row r="792" spans="2:6" x14ac:dyDescent="0.2">
      <c r="B792" s="129"/>
      <c r="C792" s="129"/>
      <c r="D792" s="129"/>
      <c r="E792" s="129"/>
      <c r="F792" s="129"/>
    </row>
    <row r="793" spans="2:6" x14ac:dyDescent="0.2">
      <c r="B793" s="129"/>
      <c r="C793" s="129"/>
      <c r="D793" s="129"/>
      <c r="E793" s="129"/>
      <c r="F793" s="129"/>
    </row>
    <row r="794" spans="2:6" x14ac:dyDescent="0.2">
      <c r="B794" s="129"/>
      <c r="C794" s="129"/>
      <c r="D794" s="129"/>
      <c r="E794" s="129"/>
      <c r="F794" s="129"/>
    </row>
    <row r="795" spans="2:6" x14ac:dyDescent="0.2">
      <c r="B795" s="129"/>
      <c r="C795" s="129"/>
      <c r="D795" s="129"/>
      <c r="E795" s="129"/>
      <c r="F795" s="129"/>
    </row>
    <row r="796" spans="2:6" x14ac:dyDescent="0.2">
      <c r="B796" s="129"/>
      <c r="C796" s="129"/>
      <c r="D796" s="129"/>
      <c r="E796" s="129"/>
      <c r="F796" s="129"/>
    </row>
    <row r="797" spans="2:6" x14ac:dyDescent="0.2">
      <c r="B797" s="129"/>
      <c r="C797" s="129"/>
      <c r="D797" s="129"/>
      <c r="E797" s="129"/>
      <c r="F797" s="129"/>
    </row>
    <row r="798" spans="2:6" x14ac:dyDescent="0.2">
      <c r="B798" s="129"/>
      <c r="C798" s="129"/>
      <c r="D798" s="129"/>
      <c r="E798" s="129"/>
      <c r="F798" s="129"/>
    </row>
    <row r="799" spans="2:6" x14ac:dyDescent="0.2">
      <c r="B799" s="129"/>
      <c r="C799" s="129"/>
      <c r="D799" s="129"/>
      <c r="E799" s="129"/>
      <c r="F799" s="129"/>
    </row>
    <row r="800" spans="2:6" x14ac:dyDescent="0.2">
      <c r="B800" s="129"/>
      <c r="C800" s="129"/>
      <c r="D800" s="129"/>
      <c r="E800" s="129"/>
      <c r="F800" s="129"/>
    </row>
    <row r="801" spans="2:6" x14ac:dyDescent="0.2">
      <c r="B801" s="129"/>
      <c r="C801" s="129"/>
      <c r="D801" s="129"/>
      <c r="E801" s="129"/>
      <c r="F801" s="129"/>
    </row>
    <row r="802" spans="2:6" x14ac:dyDescent="0.2">
      <c r="B802" s="129"/>
      <c r="C802" s="129"/>
      <c r="D802" s="129"/>
      <c r="E802" s="129"/>
      <c r="F802" s="129"/>
    </row>
    <row r="803" spans="2:6" x14ac:dyDescent="0.2">
      <c r="B803" s="129"/>
      <c r="C803" s="129"/>
      <c r="D803" s="129"/>
      <c r="E803" s="129"/>
      <c r="F803" s="129"/>
    </row>
    <row r="804" spans="2:6" x14ac:dyDescent="0.2">
      <c r="B804" s="129"/>
      <c r="C804" s="129"/>
      <c r="D804" s="129"/>
      <c r="E804" s="129"/>
      <c r="F804" s="129"/>
    </row>
    <row r="805" spans="2:6" x14ac:dyDescent="0.2">
      <c r="B805" s="129"/>
      <c r="C805" s="129"/>
      <c r="D805" s="129"/>
      <c r="E805" s="129"/>
      <c r="F805" s="129"/>
    </row>
    <row r="806" spans="2:6" x14ac:dyDescent="0.2">
      <c r="B806" s="129"/>
      <c r="C806" s="129"/>
      <c r="D806" s="129"/>
      <c r="E806" s="129"/>
      <c r="F806" s="129"/>
    </row>
    <row r="807" spans="2:6" x14ac:dyDescent="0.2">
      <c r="B807" s="129"/>
      <c r="C807" s="129"/>
      <c r="D807" s="129"/>
      <c r="E807" s="129"/>
      <c r="F807" s="129"/>
    </row>
    <row r="808" spans="2:6" x14ac:dyDescent="0.2">
      <c r="B808" s="129"/>
      <c r="C808" s="129"/>
      <c r="D808" s="129"/>
      <c r="E808" s="129"/>
      <c r="F808" s="129"/>
    </row>
    <row r="809" spans="2:6" x14ac:dyDescent="0.2">
      <c r="B809" s="129"/>
      <c r="C809" s="129"/>
      <c r="D809" s="129"/>
      <c r="E809" s="129"/>
      <c r="F809" s="129"/>
    </row>
    <row r="810" spans="2:6" x14ac:dyDescent="0.2">
      <c r="B810" s="129"/>
      <c r="C810" s="129"/>
      <c r="D810" s="129"/>
      <c r="E810" s="129"/>
      <c r="F810" s="129"/>
    </row>
    <row r="811" spans="2:6" x14ac:dyDescent="0.2">
      <c r="B811" s="129"/>
      <c r="C811" s="129"/>
      <c r="D811" s="129"/>
      <c r="E811" s="129"/>
      <c r="F811" s="129"/>
    </row>
    <row r="812" spans="2:6" x14ac:dyDescent="0.2">
      <c r="B812" s="129"/>
      <c r="C812" s="129"/>
      <c r="D812" s="129"/>
      <c r="E812" s="129"/>
      <c r="F812" s="129"/>
    </row>
    <row r="813" spans="2:6" x14ac:dyDescent="0.2">
      <c r="B813" s="129"/>
      <c r="C813" s="129"/>
      <c r="D813" s="129"/>
      <c r="E813" s="129"/>
      <c r="F813" s="129"/>
    </row>
    <row r="814" spans="2:6" x14ac:dyDescent="0.2">
      <c r="B814" s="129"/>
      <c r="C814" s="129"/>
      <c r="D814" s="129"/>
      <c r="E814" s="129"/>
      <c r="F814" s="129"/>
    </row>
    <row r="815" spans="2:6" x14ac:dyDescent="0.2">
      <c r="B815" s="129"/>
      <c r="C815" s="129"/>
      <c r="D815" s="129"/>
      <c r="E815" s="129"/>
      <c r="F815" s="129"/>
    </row>
    <row r="816" spans="2:6" x14ac:dyDescent="0.2">
      <c r="B816" s="129"/>
      <c r="C816" s="129"/>
      <c r="D816" s="129"/>
      <c r="E816" s="129"/>
      <c r="F816" s="129"/>
    </row>
    <row r="817" spans="2:6" x14ac:dyDescent="0.2">
      <c r="B817" s="129"/>
      <c r="C817" s="129"/>
      <c r="D817" s="129"/>
      <c r="E817" s="129"/>
      <c r="F817" s="129"/>
    </row>
    <row r="818" spans="2:6" x14ac:dyDescent="0.2">
      <c r="B818" s="129"/>
      <c r="C818" s="129"/>
      <c r="D818" s="129"/>
      <c r="E818" s="129"/>
      <c r="F818" s="129"/>
    </row>
    <row r="819" spans="2:6" x14ac:dyDescent="0.2">
      <c r="B819" s="129"/>
      <c r="C819" s="129"/>
      <c r="D819" s="129"/>
      <c r="E819" s="129"/>
      <c r="F819" s="129"/>
    </row>
    <row r="820" spans="2:6" x14ac:dyDescent="0.2">
      <c r="B820" s="129"/>
      <c r="C820" s="129"/>
      <c r="D820" s="129"/>
      <c r="E820" s="129"/>
      <c r="F820" s="129"/>
    </row>
    <row r="821" spans="2:6" x14ac:dyDescent="0.2">
      <c r="B821" s="129"/>
      <c r="C821" s="129"/>
      <c r="D821" s="129"/>
      <c r="E821" s="129"/>
      <c r="F821" s="129"/>
    </row>
    <row r="822" spans="2:6" x14ac:dyDescent="0.2">
      <c r="B822" s="129"/>
      <c r="C822" s="129"/>
      <c r="D822" s="129"/>
      <c r="E822" s="129"/>
      <c r="F822" s="129"/>
    </row>
    <row r="823" spans="2:6" x14ac:dyDescent="0.2">
      <c r="B823" s="129"/>
      <c r="C823" s="129"/>
      <c r="D823" s="129"/>
      <c r="E823" s="129"/>
      <c r="F823" s="129"/>
    </row>
    <row r="824" spans="2:6" x14ac:dyDescent="0.2">
      <c r="B824" s="129"/>
      <c r="C824" s="129"/>
      <c r="D824" s="129"/>
      <c r="E824" s="129"/>
      <c r="F824" s="129"/>
    </row>
    <row r="825" spans="2:6" x14ac:dyDescent="0.2">
      <c r="B825" s="129"/>
      <c r="C825" s="129"/>
      <c r="D825" s="129"/>
      <c r="E825" s="129"/>
      <c r="F825" s="129"/>
    </row>
    <row r="826" spans="2:6" x14ac:dyDescent="0.2">
      <c r="B826" s="129"/>
      <c r="C826" s="129"/>
      <c r="D826" s="129"/>
      <c r="E826" s="129"/>
      <c r="F826" s="129"/>
    </row>
    <row r="827" spans="2:6" x14ac:dyDescent="0.2">
      <c r="B827" s="129"/>
      <c r="C827" s="129"/>
      <c r="D827" s="129"/>
      <c r="E827" s="129"/>
      <c r="F827" s="129"/>
    </row>
    <row r="828" spans="2:6" x14ac:dyDescent="0.2">
      <c r="B828" s="129"/>
      <c r="C828" s="129"/>
      <c r="D828" s="129"/>
      <c r="E828" s="129"/>
      <c r="F828" s="129"/>
    </row>
    <row r="829" spans="2:6" x14ac:dyDescent="0.2">
      <c r="B829" s="129"/>
      <c r="C829" s="129"/>
      <c r="D829" s="129"/>
      <c r="E829" s="129"/>
      <c r="F829" s="129"/>
    </row>
    <row r="830" spans="2:6" x14ac:dyDescent="0.2">
      <c r="B830" s="129"/>
      <c r="C830" s="129"/>
      <c r="D830" s="129"/>
      <c r="E830" s="129"/>
      <c r="F830" s="129"/>
    </row>
    <row r="831" spans="2:6" x14ac:dyDescent="0.2">
      <c r="B831" s="129"/>
      <c r="C831" s="129"/>
      <c r="D831" s="129"/>
      <c r="E831" s="129"/>
      <c r="F831" s="129"/>
    </row>
    <row r="832" spans="2:6" x14ac:dyDescent="0.2">
      <c r="B832" s="129"/>
      <c r="C832" s="129"/>
      <c r="D832" s="129"/>
      <c r="E832" s="129"/>
      <c r="F832" s="129"/>
    </row>
    <row r="833" spans="2:6" x14ac:dyDescent="0.2">
      <c r="B833" s="129"/>
      <c r="C833" s="129"/>
      <c r="D833" s="129"/>
      <c r="E833" s="129"/>
      <c r="F833" s="129"/>
    </row>
    <row r="834" spans="2:6" x14ac:dyDescent="0.2">
      <c r="B834" s="129"/>
      <c r="C834" s="129"/>
      <c r="D834" s="129"/>
      <c r="E834" s="129"/>
      <c r="F834" s="129"/>
    </row>
    <row r="835" spans="2:6" x14ac:dyDescent="0.2">
      <c r="B835" s="129"/>
      <c r="C835" s="129"/>
      <c r="D835" s="129"/>
      <c r="E835" s="129"/>
      <c r="F835" s="129"/>
    </row>
    <row r="836" spans="2:6" x14ac:dyDescent="0.2">
      <c r="B836" s="129"/>
      <c r="C836" s="129"/>
      <c r="D836" s="129"/>
      <c r="E836" s="129"/>
      <c r="F836" s="129"/>
    </row>
    <row r="837" spans="2:6" x14ac:dyDescent="0.2">
      <c r="B837" s="129"/>
      <c r="C837" s="129"/>
      <c r="D837" s="129"/>
      <c r="E837" s="129"/>
      <c r="F837" s="129"/>
    </row>
    <row r="838" spans="2:6" x14ac:dyDescent="0.2">
      <c r="B838" s="129"/>
      <c r="C838" s="129"/>
      <c r="D838" s="129"/>
      <c r="E838" s="129"/>
      <c r="F838" s="129"/>
    </row>
    <row r="839" spans="2:6" x14ac:dyDescent="0.2">
      <c r="B839" s="129"/>
      <c r="C839" s="129"/>
      <c r="D839" s="129"/>
      <c r="E839" s="129"/>
      <c r="F839" s="129"/>
    </row>
    <row r="840" spans="2:6" x14ac:dyDescent="0.2">
      <c r="B840" s="129"/>
      <c r="C840" s="129"/>
      <c r="D840" s="129"/>
      <c r="E840" s="129"/>
      <c r="F840" s="129"/>
    </row>
    <row r="841" spans="2:6" x14ac:dyDescent="0.2">
      <c r="B841" s="129"/>
      <c r="C841" s="129"/>
      <c r="D841" s="129"/>
      <c r="E841" s="129"/>
      <c r="F841" s="129"/>
    </row>
    <row r="842" spans="2:6" x14ac:dyDescent="0.2">
      <c r="B842" s="129"/>
      <c r="C842" s="129"/>
      <c r="D842" s="129"/>
      <c r="E842" s="129"/>
      <c r="F842" s="129"/>
    </row>
    <row r="843" spans="2:6" x14ac:dyDescent="0.2">
      <c r="B843" s="129"/>
      <c r="C843" s="129"/>
      <c r="D843" s="129"/>
      <c r="E843" s="129"/>
      <c r="F843" s="129"/>
    </row>
    <row r="844" spans="2:6" x14ac:dyDescent="0.2">
      <c r="B844" s="129"/>
      <c r="C844" s="129"/>
      <c r="D844" s="129"/>
      <c r="E844" s="129"/>
      <c r="F844" s="129"/>
    </row>
    <row r="845" spans="2:6" x14ac:dyDescent="0.2">
      <c r="B845" s="129"/>
      <c r="C845" s="129"/>
      <c r="D845" s="129"/>
      <c r="E845" s="129"/>
      <c r="F845" s="129"/>
    </row>
    <row r="846" spans="2:6" x14ac:dyDescent="0.2">
      <c r="B846" s="129"/>
      <c r="C846" s="129"/>
      <c r="D846" s="129"/>
      <c r="E846" s="129"/>
      <c r="F846" s="129"/>
    </row>
    <row r="847" spans="2:6" x14ac:dyDescent="0.2">
      <c r="B847" s="129"/>
      <c r="C847" s="129"/>
      <c r="D847" s="129"/>
      <c r="E847" s="129"/>
      <c r="F847" s="129"/>
    </row>
    <row r="848" spans="2:6" x14ac:dyDescent="0.2">
      <c r="B848" s="129"/>
      <c r="C848" s="129"/>
      <c r="D848" s="129"/>
      <c r="E848" s="129"/>
      <c r="F848" s="129"/>
    </row>
    <row r="849" spans="2:6" x14ac:dyDescent="0.2">
      <c r="B849" s="129"/>
      <c r="C849" s="129"/>
      <c r="D849" s="129"/>
      <c r="E849" s="129"/>
      <c r="F849" s="129"/>
    </row>
    <row r="850" spans="2:6" x14ac:dyDescent="0.2">
      <c r="B850" s="129"/>
      <c r="C850" s="129"/>
      <c r="D850" s="129"/>
      <c r="E850" s="129"/>
      <c r="F850" s="129"/>
    </row>
    <row r="851" spans="2:6" x14ac:dyDescent="0.2">
      <c r="B851" s="129"/>
      <c r="C851" s="129"/>
      <c r="D851" s="129"/>
      <c r="E851" s="129"/>
      <c r="F851" s="129"/>
    </row>
    <row r="852" spans="2:6" x14ac:dyDescent="0.2">
      <c r="B852" s="129"/>
      <c r="C852" s="129"/>
      <c r="D852" s="129"/>
      <c r="E852" s="129"/>
      <c r="F852" s="129"/>
    </row>
    <row r="853" spans="2:6" x14ac:dyDescent="0.2">
      <c r="B853" s="129"/>
      <c r="C853" s="129"/>
      <c r="D853" s="129"/>
      <c r="E853" s="129"/>
      <c r="F853" s="129"/>
    </row>
    <row r="854" spans="2:6" x14ac:dyDescent="0.2">
      <c r="B854" s="129"/>
      <c r="C854" s="129"/>
      <c r="D854" s="129"/>
      <c r="E854" s="129"/>
      <c r="F854" s="129"/>
    </row>
    <row r="855" spans="2:6" x14ac:dyDescent="0.2">
      <c r="B855" s="129"/>
      <c r="C855" s="129"/>
      <c r="D855" s="129"/>
      <c r="E855" s="129"/>
      <c r="F855" s="129"/>
    </row>
    <row r="856" spans="2:6" x14ac:dyDescent="0.2">
      <c r="B856" s="129"/>
      <c r="C856" s="129"/>
      <c r="D856" s="129"/>
      <c r="E856" s="129"/>
      <c r="F856" s="129"/>
    </row>
    <row r="857" spans="2:6" x14ac:dyDescent="0.2">
      <c r="B857" s="129"/>
      <c r="C857" s="129"/>
      <c r="D857" s="129"/>
      <c r="E857" s="129"/>
      <c r="F857" s="129"/>
    </row>
    <row r="858" spans="2:6" x14ac:dyDescent="0.2">
      <c r="B858" s="129"/>
      <c r="C858" s="129"/>
      <c r="D858" s="129"/>
      <c r="E858" s="129"/>
      <c r="F858" s="129"/>
    </row>
    <row r="859" spans="2:6" x14ac:dyDescent="0.2">
      <c r="B859" s="129"/>
      <c r="C859" s="129"/>
      <c r="D859" s="129"/>
      <c r="E859" s="129"/>
      <c r="F859" s="129"/>
    </row>
    <row r="860" spans="2:6" x14ac:dyDescent="0.2">
      <c r="B860" s="129"/>
      <c r="C860" s="129"/>
      <c r="D860" s="129"/>
      <c r="E860" s="129"/>
      <c r="F860" s="129"/>
    </row>
    <row r="861" spans="2:6" x14ac:dyDescent="0.2">
      <c r="B861" s="129"/>
      <c r="C861" s="129"/>
      <c r="D861" s="129"/>
      <c r="E861" s="129"/>
      <c r="F861" s="129"/>
    </row>
    <row r="862" spans="2:6" x14ac:dyDescent="0.2">
      <c r="B862" s="129"/>
      <c r="C862" s="129"/>
      <c r="D862" s="129"/>
      <c r="E862" s="129"/>
      <c r="F862" s="129"/>
    </row>
    <row r="863" spans="2:6" x14ac:dyDescent="0.2">
      <c r="B863" s="129"/>
      <c r="C863" s="129"/>
      <c r="D863" s="129"/>
      <c r="E863" s="129"/>
      <c r="F863" s="129"/>
    </row>
    <row r="864" spans="2:6" x14ac:dyDescent="0.2">
      <c r="B864" s="129"/>
      <c r="C864" s="129"/>
      <c r="D864" s="129"/>
      <c r="E864" s="129"/>
      <c r="F864" s="129"/>
    </row>
    <row r="865" spans="2:6" x14ac:dyDescent="0.2">
      <c r="B865" s="129"/>
      <c r="C865" s="129"/>
      <c r="D865" s="129"/>
      <c r="E865" s="129"/>
      <c r="F865" s="129"/>
    </row>
    <row r="866" spans="2:6" x14ac:dyDescent="0.2">
      <c r="B866" s="129"/>
      <c r="C866" s="129"/>
      <c r="D866" s="129"/>
      <c r="E866" s="129"/>
      <c r="F866" s="129"/>
    </row>
    <row r="867" spans="2:6" x14ac:dyDescent="0.2">
      <c r="B867" s="129"/>
      <c r="C867" s="129"/>
      <c r="D867" s="129"/>
      <c r="E867" s="129"/>
      <c r="F867" s="129"/>
    </row>
    <row r="868" spans="2:6" x14ac:dyDescent="0.2">
      <c r="B868" s="129"/>
      <c r="C868" s="129"/>
      <c r="D868" s="129"/>
      <c r="E868" s="129"/>
      <c r="F868" s="129"/>
    </row>
    <row r="869" spans="2:6" x14ac:dyDescent="0.2">
      <c r="B869" s="129"/>
      <c r="C869" s="129"/>
      <c r="D869" s="129"/>
      <c r="E869" s="129"/>
      <c r="F869" s="129"/>
    </row>
    <row r="870" spans="2:6" x14ac:dyDescent="0.2">
      <c r="B870" s="129"/>
      <c r="C870" s="129"/>
      <c r="D870" s="129"/>
      <c r="E870" s="129"/>
      <c r="F870" s="129"/>
    </row>
    <row r="871" spans="2:6" x14ac:dyDescent="0.2">
      <c r="B871" s="129"/>
      <c r="C871" s="129"/>
      <c r="D871" s="129"/>
      <c r="E871" s="129"/>
      <c r="F871" s="129"/>
    </row>
    <row r="872" spans="2:6" x14ac:dyDescent="0.2">
      <c r="B872" s="129"/>
      <c r="C872" s="129"/>
      <c r="D872" s="129"/>
      <c r="E872" s="129"/>
      <c r="F872" s="129"/>
    </row>
    <row r="873" spans="2:6" x14ac:dyDescent="0.2">
      <c r="B873" s="129"/>
      <c r="C873" s="129"/>
      <c r="D873" s="129"/>
      <c r="E873" s="129"/>
      <c r="F873" s="129"/>
    </row>
    <row r="874" spans="2:6" x14ac:dyDescent="0.2">
      <c r="B874" s="129"/>
      <c r="C874" s="129"/>
      <c r="D874" s="129"/>
      <c r="E874" s="129"/>
      <c r="F874" s="129"/>
    </row>
    <row r="875" spans="2:6" x14ac:dyDescent="0.2">
      <c r="B875" s="129"/>
      <c r="C875" s="129"/>
      <c r="D875" s="129"/>
      <c r="E875" s="129"/>
      <c r="F875" s="129"/>
    </row>
    <row r="876" spans="2:6" x14ac:dyDescent="0.2">
      <c r="B876" s="129"/>
      <c r="C876" s="129"/>
      <c r="D876" s="129"/>
      <c r="E876" s="129"/>
      <c r="F876" s="129"/>
    </row>
    <row r="877" spans="2:6" x14ac:dyDescent="0.2">
      <c r="B877" s="129"/>
      <c r="C877" s="129"/>
      <c r="D877" s="129"/>
      <c r="E877" s="129"/>
      <c r="F877" s="129"/>
    </row>
    <row r="878" spans="2:6" x14ac:dyDescent="0.2">
      <c r="B878" s="129"/>
      <c r="C878" s="129"/>
      <c r="D878" s="129"/>
      <c r="E878" s="129"/>
      <c r="F878" s="129"/>
    </row>
    <row r="879" spans="2:6" x14ac:dyDescent="0.2">
      <c r="B879" s="129"/>
      <c r="C879" s="129"/>
      <c r="D879" s="129"/>
      <c r="E879" s="129"/>
      <c r="F879" s="129"/>
    </row>
    <row r="880" spans="2:6" x14ac:dyDescent="0.2">
      <c r="B880" s="129"/>
      <c r="C880" s="129"/>
      <c r="D880" s="129"/>
      <c r="E880" s="129"/>
      <c r="F880" s="129"/>
    </row>
    <row r="881" spans="2:6" x14ac:dyDescent="0.2">
      <c r="B881" s="129"/>
      <c r="C881" s="129"/>
      <c r="D881" s="129"/>
      <c r="E881" s="129"/>
      <c r="F881" s="129"/>
    </row>
    <row r="882" spans="2:6" x14ac:dyDescent="0.2">
      <c r="B882" s="129"/>
      <c r="C882" s="129"/>
      <c r="D882" s="129"/>
      <c r="E882" s="129"/>
      <c r="F882" s="129"/>
    </row>
    <row r="883" spans="2:6" x14ac:dyDescent="0.2">
      <c r="B883" s="129"/>
      <c r="C883" s="129"/>
      <c r="D883" s="129"/>
      <c r="E883" s="129"/>
      <c r="F883" s="129"/>
    </row>
    <row r="884" spans="2:6" x14ac:dyDescent="0.2">
      <c r="B884" s="129"/>
      <c r="C884" s="129"/>
      <c r="D884" s="129"/>
      <c r="E884" s="129"/>
      <c r="F884" s="129"/>
    </row>
    <row r="885" spans="2:6" x14ac:dyDescent="0.2">
      <c r="B885" s="129"/>
      <c r="C885" s="129"/>
      <c r="D885" s="129"/>
      <c r="E885" s="129"/>
      <c r="F885" s="129"/>
    </row>
    <row r="886" spans="2:6" x14ac:dyDescent="0.2">
      <c r="B886" s="129"/>
      <c r="C886" s="129"/>
      <c r="D886" s="129"/>
      <c r="E886" s="129"/>
      <c r="F886" s="129"/>
    </row>
    <row r="887" spans="2:6" x14ac:dyDescent="0.2">
      <c r="B887" s="129"/>
      <c r="C887" s="129"/>
      <c r="D887" s="129"/>
      <c r="E887" s="129"/>
      <c r="F887" s="129"/>
    </row>
    <row r="888" spans="2:6" x14ac:dyDescent="0.2">
      <c r="B888" s="129"/>
      <c r="C888" s="129"/>
      <c r="D888" s="129"/>
      <c r="E888" s="129"/>
      <c r="F888" s="129"/>
    </row>
    <row r="889" spans="2:6" x14ac:dyDescent="0.2">
      <c r="B889" s="129"/>
      <c r="C889" s="129"/>
      <c r="D889" s="129"/>
      <c r="E889" s="129"/>
      <c r="F889" s="129"/>
    </row>
    <row r="890" spans="2:6" x14ac:dyDescent="0.2">
      <c r="B890" s="129"/>
      <c r="C890" s="129"/>
      <c r="D890" s="129"/>
      <c r="E890" s="129"/>
      <c r="F890" s="129"/>
    </row>
    <row r="891" spans="2:6" x14ac:dyDescent="0.2">
      <c r="B891" s="129"/>
      <c r="C891" s="129"/>
      <c r="D891" s="129"/>
      <c r="E891" s="129"/>
      <c r="F891" s="129"/>
    </row>
    <row r="892" spans="2:6" x14ac:dyDescent="0.2">
      <c r="B892" s="129"/>
      <c r="C892" s="129"/>
      <c r="D892" s="129"/>
      <c r="E892" s="129"/>
      <c r="F892" s="129"/>
    </row>
    <row r="893" spans="2:6" x14ac:dyDescent="0.2">
      <c r="B893" s="129"/>
      <c r="C893" s="129"/>
      <c r="D893" s="129"/>
      <c r="E893" s="129"/>
      <c r="F893" s="129"/>
    </row>
    <row r="894" spans="2:6" x14ac:dyDescent="0.2">
      <c r="B894" s="129"/>
      <c r="C894" s="129"/>
      <c r="D894" s="129"/>
      <c r="E894" s="129"/>
      <c r="F894" s="129"/>
    </row>
    <row r="895" spans="2:6" x14ac:dyDescent="0.2">
      <c r="B895" s="129"/>
      <c r="C895" s="129"/>
      <c r="D895" s="129"/>
      <c r="E895" s="129"/>
      <c r="F895" s="129"/>
    </row>
    <row r="896" spans="2:6" x14ac:dyDescent="0.2">
      <c r="B896" s="129"/>
      <c r="C896" s="129"/>
      <c r="D896" s="129"/>
      <c r="E896" s="129"/>
      <c r="F896" s="129"/>
    </row>
    <row r="897" spans="2:6" x14ac:dyDescent="0.2">
      <c r="B897" s="129"/>
      <c r="C897" s="129"/>
      <c r="D897" s="129"/>
      <c r="E897" s="129"/>
      <c r="F897" s="129"/>
    </row>
    <row r="898" spans="2:6" x14ac:dyDescent="0.2">
      <c r="B898" s="129"/>
      <c r="C898" s="129"/>
      <c r="D898" s="129"/>
      <c r="E898" s="129"/>
      <c r="F898" s="129"/>
    </row>
    <row r="899" spans="2:6" x14ac:dyDescent="0.2">
      <c r="B899" s="129"/>
      <c r="C899" s="129"/>
      <c r="D899" s="129"/>
      <c r="E899" s="129"/>
      <c r="F899" s="129"/>
    </row>
    <row r="900" spans="2:6" x14ac:dyDescent="0.2">
      <c r="B900" s="129"/>
      <c r="C900" s="129"/>
      <c r="D900" s="129"/>
      <c r="E900" s="129"/>
      <c r="F900" s="129"/>
    </row>
    <row r="901" spans="2:6" x14ac:dyDescent="0.2">
      <c r="B901" s="129"/>
      <c r="C901" s="129"/>
      <c r="D901" s="129"/>
      <c r="E901" s="129"/>
      <c r="F901" s="129"/>
    </row>
    <row r="902" spans="2:6" x14ac:dyDescent="0.2">
      <c r="B902" s="129"/>
      <c r="C902" s="129"/>
      <c r="D902" s="129"/>
      <c r="E902" s="129"/>
      <c r="F902" s="129"/>
    </row>
    <row r="903" spans="2:6" x14ac:dyDescent="0.2">
      <c r="B903" s="129"/>
      <c r="C903" s="129"/>
      <c r="D903" s="129"/>
      <c r="E903" s="129"/>
      <c r="F903" s="129"/>
    </row>
    <row r="904" spans="2:6" x14ac:dyDescent="0.2">
      <c r="B904" s="129"/>
      <c r="C904" s="129"/>
      <c r="D904" s="129"/>
      <c r="E904" s="129"/>
      <c r="F904" s="129"/>
    </row>
    <row r="905" spans="2:6" x14ac:dyDescent="0.2">
      <c r="B905" s="129"/>
      <c r="C905" s="129"/>
      <c r="D905" s="129"/>
      <c r="E905" s="129"/>
      <c r="F905" s="129"/>
    </row>
    <row r="906" spans="2:6" x14ac:dyDescent="0.2">
      <c r="B906" s="129"/>
      <c r="C906" s="129"/>
      <c r="D906" s="129"/>
      <c r="E906" s="129"/>
      <c r="F906" s="129"/>
    </row>
    <row r="907" spans="2:6" x14ac:dyDescent="0.2">
      <c r="B907" s="129"/>
      <c r="C907" s="129"/>
      <c r="D907" s="129"/>
      <c r="E907" s="129"/>
      <c r="F907" s="129"/>
    </row>
    <row r="908" spans="2:6" x14ac:dyDescent="0.2">
      <c r="B908" s="129"/>
      <c r="C908" s="129"/>
      <c r="D908" s="129"/>
      <c r="E908" s="129"/>
      <c r="F908" s="129"/>
    </row>
    <row r="909" spans="2:6" x14ac:dyDescent="0.2">
      <c r="B909" s="129"/>
      <c r="C909" s="129"/>
      <c r="D909" s="129"/>
      <c r="E909" s="129"/>
      <c r="F909" s="129"/>
    </row>
    <row r="910" spans="2:6" x14ac:dyDescent="0.2">
      <c r="B910" s="129"/>
      <c r="C910" s="129"/>
      <c r="D910" s="129"/>
      <c r="E910" s="129"/>
      <c r="F910" s="129"/>
    </row>
    <row r="911" spans="2:6" x14ac:dyDescent="0.2">
      <c r="B911" s="129"/>
      <c r="C911" s="129"/>
      <c r="D911" s="129"/>
      <c r="E911" s="129"/>
      <c r="F911" s="129"/>
    </row>
    <row r="912" spans="2:6" x14ac:dyDescent="0.2">
      <c r="B912" s="129"/>
      <c r="C912" s="129"/>
      <c r="D912" s="129"/>
      <c r="E912" s="129"/>
      <c r="F912" s="129"/>
    </row>
    <row r="913" spans="2:6" x14ac:dyDescent="0.2">
      <c r="B913" s="129"/>
      <c r="C913" s="129"/>
      <c r="D913" s="129"/>
      <c r="E913" s="129"/>
      <c r="F913" s="129"/>
    </row>
    <row r="914" spans="2:6" x14ac:dyDescent="0.2">
      <c r="B914" s="129"/>
      <c r="C914" s="129"/>
      <c r="D914" s="129"/>
      <c r="E914" s="129"/>
      <c r="F914" s="129"/>
    </row>
    <row r="915" spans="2:6" x14ac:dyDescent="0.2">
      <c r="B915" s="129"/>
      <c r="C915" s="129"/>
      <c r="D915" s="129"/>
      <c r="E915" s="129"/>
      <c r="F915" s="129"/>
    </row>
    <row r="916" spans="2:6" x14ac:dyDescent="0.2">
      <c r="B916" s="129"/>
      <c r="C916" s="129"/>
      <c r="D916" s="129"/>
      <c r="E916" s="129"/>
      <c r="F916" s="129"/>
    </row>
    <row r="917" spans="2:6" x14ac:dyDescent="0.2">
      <c r="B917" s="129"/>
      <c r="C917" s="129"/>
      <c r="D917" s="129"/>
      <c r="E917" s="129"/>
      <c r="F917" s="129"/>
    </row>
    <row r="918" spans="2:6" x14ac:dyDescent="0.2">
      <c r="B918" s="129"/>
      <c r="C918" s="129"/>
      <c r="D918" s="129"/>
      <c r="E918" s="129"/>
      <c r="F918" s="129"/>
    </row>
    <row r="919" spans="2:6" x14ac:dyDescent="0.2">
      <c r="B919" s="129"/>
      <c r="C919" s="129"/>
      <c r="D919" s="129"/>
      <c r="E919" s="129"/>
      <c r="F919" s="129"/>
    </row>
    <row r="920" spans="2:6" x14ac:dyDescent="0.2">
      <c r="B920" s="129"/>
      <c r="C920" s="129"/>
      <c r="D920" s="129"/>
      <c r="E920" s="129"/>
      <c r="F920" s="129"/>
    </row>
    <row r="921" spans="2:6" x14ac:dyDescent="0.2">
      <c r="B921" s="129"/>
      <c r="C921" s="129"/>
      <c r="D921" s="129"/>
      <c r="E921" s="129"/>
      <c r="F921" s="129"/>
    </row>
    <row r="922" spans="2:6" x14ac:dyDescent="0.2">
      <c r="B922" s="129"/>
      <c r="C922" s="129"/>
      <c r="D922" s="129"/>
      <c r="E922" s="129"/>
      <c r="F922" s="129"/>
    </row>
    <row r="923" spans="2:6" x14ac:dyDescent="0.2">
      <c r="B923" s="129"/>
      <c r="C923" s="129"/>
      <c r="D923" s="129"/>
      <c r="E923" s="129"/>
      <c r="F923" s="129"/>
    </row>
    <row r="924" spans="2:6" x14ac:dyDescent="0.2">
      <c r="B924" s="129"/>
      <c r="C924" s="129"/>
      <c r="D924" s="129"/>
      <c r="E924" s="129"/>
      <c r="F924" s="129"/>
    </row>
    <row r="925" spans="2:6" x14ac:dyDescent="0.2">
      <c r="B925" s="129"/>
      <c r="C925" s="129"/>
      <c r="D925" s="129"/>
      <c r="E925" s="129"/>
      <c r="F925" s="129"/>
    </row>
    <row r="926" spans="2:6" x14ac:dyDescent="0.2">
      <c r="B926" s="129"/>
      <c r="C926" s="129"/>
      <c r="D926" s="129"/>
      <c r="E926" s="129"/>
      <c r="F926" s="129"/>
    </row>
    <row r="927" spans="2:6" x14ac:dyDescent="0.2">
      <c r="B927" s="129"/>
      <c r="C927" s="129"/>
      <c r="D927" s="129"/>
      <c r="E927" s="129"/>
      <c r="F927" s="129"/>
    </row>
    <row r="928" spans="2:6" x14ac:dyDescent="0.2">
      <c r="B928" s="129"/>
      <c r="C928" s="129"/>
      <c r="D928" s="129"/>
      <c r="E928" s="129"/>
      <c r="F928" s="129"/>
    </row>
    <row r="929" spans="2:6" x14ac:dyDescent="0.2">
      <c r="B929" s="129"/>
      <c r="C929" s="129"/>
      <c r="D929" s="129"/>
      <c r="E929" s="129"/>
      <c r="F929" s="129"/>
    </row>
    <row r="930" spans="2:6" x14ac:dyDescent="0.2">
      <c r="B930" s="129"/>
      <c r="C930" s="129"/>
      <c r="D930" s="129"/>
      <c r="E930" s="129"/>
      <c r="F930" s="129"/>
    </row>
    <row r="931" spans="2:6" x14ac:dyDescent="0.2">
      <c r="B931" s="129"/>
      <c r="C931" s="129"/>
      <c r="D931" s="129"/>
      <c r="E931" s="129"/>
      <c r="F931" s="129"/>
    </row>
    <row r="932" spans="2:6" x14ac:dyDescent="0.2">
      <c r="B932" s="129"/>
      <c r="C932" s="129"/>
      <c r="D932" s="129"/>
      <c r="E932" s="129"/>
      <c r="F932" s="129"/>
    </row>
    <row r="933" spans="2:6" x14ac:dyDescent="0.2">
      <c r="B933" s="129"/>
      <c r="C933" s="129"/>
      <c r="D933" s="129"/>
      <c r="E933" s="129"/>
      <c r="F933" s="129"/>
    </row>
    <row r="934" spans="2:6" x14ac:dyDescent="0.2">
      <c r="B934" s="129"/>
      <c r="C934" s="129"/>
      <c r="D934" s="129"/>
      <c r="E934" s="129"/>
      <c r="F934" s="129"/>
    </row>
    <row r="935" spans="2:6" x14ac:dyDescent="0.2">
      <c r="B935" s="129"/>
      <c r="C935" s="129"/>
      <c r="D935" s="129"/>
      <c r="E935" s="129"/>
      <c r="F935" s="129"/>
    </row>
    <row r="936" spans="2:6" x14ac:dyDescent="0.2">
      <c r="B936" s="129"/>
      <c r="C936" s="129"/>
      <c r="D936" s="129"/>
      <c r="E936" s="129"/>
      <c r="F936" s="129"/>
    </row>
    <row r="937" spans="2:6" x14ac:dyDescent="0.2">
      <c r="B937" s="129"/>
      <c r="C937" s="129"/>
      <c r="D937" s="129"/>
      <c r="E937" s="129"/>
      <c r="F937" s="129"/>
    </row>
    <row r="938" spans="2:6" x14ac:dyDescent="0.2">
      <c r="B938" s="129"/>
      <c r="C938" s="129"/>
      <c r="D938" s="129"/>
      <c r="E938" s="129"/>
      <c r="F938" s="129"/>
    </row>
    <row r="939" spans="2:6" x14ac:dyDescent="0.2">
      <c r="B939" s="129"/>
      <c r="C939" s="129"/>
      <c r="D939" s="129"/>
      <c r="E939" s="129"/>
      <c r="F939" s="129"/>
    </row>
    <row r="940" spans="2:6" x14ac:dyDescent="0.2">
      <c r="B940" s="129"/>
      <c r="C940" s="129"/>
      <c r="D940" s="129"/>
      <c r="E940" s="129"/>
      <c r="F940" s="129"/>
    </row>
    <row r="941" spans="2:6" x14ac:dyDescent="0.2">
      <c r="B941" s="129"/>
      <c r="C941" s="129"/>
      <c r="D941" s="129"/>
      <c r="E941" s="129"/>
      <c r="F941" s="129"/>
    </row>
    <row r="942" spans="2:6" x14ac:dyDescent="0.2">
      <c r="B942" s="129"/>
      <c r="C942" s="129"/>
      <c r="D942" s="129"/>
      <c r="E942" s="129"/>
      <c r="F942" s="129"/>
    </row>
    <row r="943" spans="2:6" x14ac:dyDescent="0.2">
      <c r="B943" s="129"/>
      <c r="C943" s="129"/>
      <c r="D943" s="129"/>
      <c r="E943" s="129"/>
      <c r="F943" s="129"/>
    </row>
    <row r="944" spans="2:6" x14ac:dyDescent="0.2">
      <c r="B944" s="129"/>
      <c r="C944" s="129"/>
      <c r="D944" s="129"/>
      <c r="E944" s="129"/>
      <c r="F944" s="129"/>
    </row>
    <row r="945" spans="2:6" x14ac:dyDescent="0.2">
      <c r="B945" s="129"/>
      <c r="C945" s="129"/>
      <c r="D945" s="129"/>
      <c r="E945" s="129"/>
      <c r="F945" s="129"/>
    </row>
    <row r="946" spans="2:6" x14ac:dyDescent="0.2">
      <c r="B946" s="129"/>
      <c r="C946" s="129"/>
      <c r="D946" s="129"/>
      <c r="E946" s="129"/>
      <c r="F946" s="129"/>
    </row>
    <row r="947" spans="2:6" x14ac:dyDescent="0.2">
      <c r="B947" s="129"/>
      <c r="C947" s="129"/>
      <c r="D947" s="129"/>
      <c r="E947" s="129"/>
      <c r="F947" s="129"/>
    </row>
    <row r="948" spans="2:6" x14ac:dyDescent="0.2">
      <c r="B948" s="129"/>
      <c r="C948" s="129"/>
      <c r="D948" s="129"/>
      <c r="E948" s="129"/>
      <c r="F948" s="129"/>
    </row>
    <row r="949" spans="2:6" x14ac:dyDescent="0.2">
      <c r="B949" s="129"/>
      <c r="C949" s="129"/>
      <c r="D949" s="129"/>
      <c r="E949" s="129"/>
      <c r="F949" s="129"/>
    </row>
    <row r="950" spans="2:6" x14ac:dyDescent="0.2">
      <c r="B950" s="129"/>
      <c r="C950" s="129"/>
      <c r="D950" s="129"/>
      <c r="E950" s="129"/>
      <c r="F950" s="129"/>
    </row>
    <row r="951" spans="2:6" x14ac:dyDescent="0.2">
      <c r="B951" s="129"/>
      <c r="C951" s="129"/>
      <c r="D951" s="129"/>
      <c r="E951" s="129"/>
      <c r="F951" s="129"/>
    </row>
    <row r="952" spans="2:6" x14ac:dyDescent="0.2">
      <c r="B952" s="129"/>
      <c r="C952" s="129"/>
      <c r="D952" s="129"/>
      <c r="E952" s="129"/>
      <c r="F952" s="129"/>
    </row>
    <row r="953" spans="2:6" x14ac:dyDescent="0.2">
      <c r="B953" s="129"/>
      <c r="C953" s="129"/>
      <c r="D953" s="129"/>
      <c r="E953" s="129"/>
      <c r="F953" s="129"/>
    </row>
    <row r="954" spans="2:6" x14ac:dyDescent="0.2">
      <c r="B954" s="129"/>
      <c r="C954" s="129"/>
      <c r="D954" s="129"/>
      <c r="E954" s="129"/>
      <c r="F954" s="129"/>
    </row>
    <row r="955" spans="2:6" x14ac:dyDescent="0.2">
      <c r="B955" s="129"/>
      <c r="C955" s="129"/>
      <c r="D955" s="129"/>
      <c r="E955" s="129"/>
      <c r="F955" s="129"/>
    </row>
    <row r="956" spans="2:6" x14ac:dyDescent="0.2">
      <c r="B956" s="129"/>
      <c r="C956" s="129"/>
      <c r="D956" s="129"/>
      <c r="E956" s="129"/>
      <c r="F956" s="129"/>
    </row>
    <row r="957" spans="2:6" x14ac:dyDescent="0.2">
      <c r="B957" s="129"/>
      <c r="C957" s="129"/>
      <c r="D957" s="129"/>
      <c r="E957" s="129"/>
      <c r="F957" s="129"/>
    </row>
    <row r="958" spans="2:6" x14ac:dyDescent="0.2">
      <c r="B958" s="129"/>
      <c r="C958" s="129"/>
      <c r="D958" s="129"/>
      <c r="E958" s="129"/>
      <c r="F958" s="129"/>
    </row>
    <row r="959" spans="2:6" x14ac:dyDescent="0.2">
      <c r="B959" s="129"/>
      <c r="C959" s="129"/>
      <c r="D959" s="129"/>
      <c r="E959" s="129"/>
      <c r="F959" s="129"/>
    </row>
    <row r="960" spans="2:6" x14ac:dyDescent="0.2">
      <c r="B960" s="129"/>
      <c r="C960" s="129"/>
      <c r="D960" s="129"/>
      <c r="E960" s="129"/>
      <c r="F960" s="129"/>
    </row>
    <row r="961" spans="2:6" x14ac:dyDescent="0.2">
      <c r="B961" s="129"/>
      <c r="C961" s="129"/>
      <c r="D961" s="129"/>
      <c r="E961" s="129"/>
      <c r="F961" s="129"/>
    </row>
    <row r="962" spans="2:6" x14ac:dyDescent="0.2">
      <c r="B962" s="129"/>
      <c r="C962" s="129"/>
      <c r="D962" s="129"/>
      <c r="E962" s="129"/>
      <c r="F962" s="129"/>
    </row>
    <row r="963" spans="2:6" x14ac:dyDescent="0.2">
      <c r="B963" s="129"/>
      <c r="C963" s="129"/>
      <c r="D963" s="129"/>
      <c r="E963" s="129"/>
      <c r="F963" s="129"/>
    </row>
    <row r="964" spans="2:6" x14ac:dyDescent="0.2">
      <c r="B964" s="129"/>
      <c r="C964" s="129"/>
      <c r="D964" s="129"/>
      <c r="E964" s="129"/>
      <c r="F964" s="129"/>
    </row>
    <row r="965" spans="2:6" x14ac:dyDescent="0.2">
      <c r="B965" s="129"/>
      <c r="C965" s="129"/>
      <c r="D965" s="129"/>
      <c r="E965" s="129"/>
      <c r="F965" s="129"/>
    </row>
    <row r="966" spans="2:6" x14ac:dyDescent="0.2">
      <c r="B966" s="129"/>
      <c r="C966" s="129"/>
      <c r="D966" s="129"/>
      <c r="E966" s="129"/>
      <c r="F966" s="129"/>
    </row>
    <row r="967" spans="2:6" x14ac:dyDescent="0.2">
      <c r="B967" s="129"/>
      <c r="C967" s="129"/>
      <c r="D967" s="129"/>
      <c r="E967" s="129"/>
      <c r="F967" s="129"/>
    </row>
    <row r="968" spans="2:6" x14ac:dyDescent="0.2">
      <c r="B968" s="129"/>
      <c r="C968" s="129"/>
      <c r="D968" s="129"/>
      <c r="E968" s="129"/>
      <c r="F968" s="129"/>
    </row>
    <row r="969" spans="2:6" x14ac:dyDescent="0.2">
      <c r="B969" s="129"/>
      <c r="C969" s="129"/>
      <c r="D969" s="129"/>
      <c r="E969" s="129"/>
      <c r="F969" s="129"/>
    </row>
    <row r="970" spans="2:6" x14ac:dyDescent="0.2">
      <c r="B970" s="129"/>
      <c r="C970" s="129"/>
      <c r="D970" s="129"/>
      <c r="E970" s="129"/>
      <c r="F970" s="129"/>
    </row>
    <row r="971" spans="2:6" x14ac:dyDescent="0.2">
      <c r="B971" s="129"/>
      <c r="C971" s="129"/>
      <c r="D971" s="129"/>
      <c r="E971" s="129"/>
      <c r="F971" s="129"/>
    </row>
    <row r="972" spans="2:6" x14ac:dyDescent="0.2">
      <c r="B972" s="129"/>
      <c r="C972" s="129"/>
      <c r="D972" s="129"/>
      <c r="E972" s="129"/>
      <c r="F972" s="129"/>
    </row>
    <row r="973" spans="2:6" x14ac:dyDescent="0.2">
      <c r="B973" s="129"/>
      <c r="C973" s="129"/>
      <c r="D973" s="129"/>
      <c r="E973" s="129"/>
      <c r="F973" s="129"/>
    </row>
    <row r="974" spans="2:6" x14ac:dyDescent="0.2">
      <c r="B974" s="129"/>
      <c r="C974" s="129"/>
      <c r="D974" s="129"/>
      <c r="E974" s="129"/>
      <c r="F974" s="129"/>
    </row>
    <row r="975" spans="2:6" x14ac:dyDescent="0.2">
      <c r="B975" s="129"/>
      <c r="C975" s="129"/>
      <c r="D975" s="129"/>
      <c r="E975" s="129"/>
      <c r="F975" s="129"/>
    </row>
    <row r="976" spans="2:6" x14ac:dyDescent="0.2">
      <c r="B976" s="129"/>
      <c r="C976" s="129"/>
      <c r="D976" s="129"/>
      <c r="E976" s="129"/>
      <c r="F976" s="129"/>
    </row>
    <row r="977" spans="2:6" x14ac:dyDescent="0.2">
      <c r="B977" s="129"/>
      <c r="C977" s="129"/>
      <c r="D977" s="129"/>
      <c r="E977" s="129"/>
      <c r="F977" s="129"/>
    </row>
    <row r="978" spans="2:6" x14ac:dyDescent="0.2">
      <c r="B978" s="129"/>
      <c r="C978" s="129"/>
      <c r="D978" s="129"/>
      <c r="E978" s="129"/>
      <c r="F978" s="129"/>
    </row>
    <row r="979" spans="2:6" x14ac:dyDescent="0.2">
      <c r="B979" s="129"/>
      <c r="C979" s="129"/>
      <c r="D979" s="129"/>
      <c r="E979" s="129"/>
      <c r="F979" s="129"/>
    </row>
    <row r="980" spans="2:6" x14ac:dyDescent="0.2">
      <c r="B980" s="129"/>
      <c r="C980" s="129"/>
      <c r="D980" s="129"/>
      <c r="E980" s="129"/>
      <c r="F980" s="129"/>
    </row>
    <row r="981" spans="2:6" x14ac:dyDescent="0.2">
      <c r="B981" s="129"/>
      <c r="C981" s="129"/>
      <c r="D981" s="129"/>
      <c r="E981" s="129"/>
      <c r="F981" s="129"/>
    </row>
    <row r="982" spans="2:6" x14ac:dyDescent="0.2">
      <c r="B982" s="129"/>
      <c r="C982" s="129"/>
      <c r="D982" s="129"/>
      <c r="E982" s="129"/>
      <c r="F982" s="129"/>
    </row>
    <row r="983" spans="2:6" x14ac:dyDescent="0.2">
      <c r="B983" s="129"/>
      <c r="C983" s="129"/>
      <c r="D983" s="129"/>
      <c r="E983" s="129"/>
      <c r="F983" s="129"/>
    </row>
    <row r="984" spans="2:6" x14ac:dyDescent="0.2">
      <c r="B984" s="129"/>
      <c r="C984" s="129"/>
      <c r="D984" s="129"/>
      <c r="E984" s="129"/>
      <c r="F984" s="129"/>
    </row>
    <row r="985" spans="2:6" x14ac:dyDescent="0.2">
      <c r="B985" s="129"/>
      <c r="C985" s="129"/>
      <c r="D985" s="129"/>
      <c r="E985" s="129"/>
      <c r="F985" s="129"/>
    </row>
    <row r="986" spans="2:6" x14ac:dyDescent="0.2">
      <c r="B986" s="129"/>
      <c r="C986" s="129"/>
      <c r="D986" s="129"/>
      <c r="E986" s="129"/>
      <c r="F986" s="129"/>
    </row>
    <row r="987" spans="2:6" x14ac:dyDescent="0.2">
      <c r="B987" s="129"/>
      <c r="C987" s="129"/>
      <c r="D987" s="129"/>
      <c r="E987" s="129"/>
      <c r="F987" s="129"/>
    </row>
    <row r="988" spans="2:6" x14ac:dyDescent="0.2">
      <c r="B988" s="129"/>
      <c r="C988" s="129"/>
      <c r="D988" s="129"/>
      <c r="E988" s="129"/>
      <c r="F988" s="129"/>
    </row>
    <row r="989" spans="2:6" x14ac:dyDescent="0.2">
      <c r="B989" s="129"/>
      <c r="C989" s="129"/>
      <c r="D989" s="129"/>
      <c r="E989" s="129"/>
      <c r="F989" s="129"/>
    </row>
    <row r="990" spans="2:6" x14ac:dyDescent="0.2">
      <c r="B990" s="129"/>
      <c r="C990" s="129"/>
      <c r="D990" s="129"/>
      <c r="E990" s="129"/>
      <c r="F990" s="129"/>
    </row>
    <row r="991" spans="2:6" x14ac:dyDescent="0.2">
      <c r="B991" s="129"/>
      <c r="C991" s="129"/>
      <c r="D991" s="129"/>
      <c r="E991" s="129"/>
      <c r="F991" s="129"/>
    </row>
    <row r="992" spans="2:6" x14ac:dyDescent="0.2">
      <c r="B992" s="129"/>
      <c r="C992" s="129"/>
      <c r="D992" s="129"/>
      <c r="E992" s="129"/>
      <c r="F992" s="129"/>
    </row>
    <row r="993" spans="2:6" x14ac:dyDescent="0.2">
      <c r="B993" s="129"/>
      <c r="C993" s="129"/>
      <c r="D993" s="129"/>
      <c r="E993" s="129"/>
      <c r="F993" s="129"/>
    </row>
    <row r="994" spans="2:6" x14ac:dyDescent="0.2">
      <c r="B994" s="129"/>
      <c r="C994" s="129"/>
      <c r="D994" s="129"/>
      <c r="E994" s="129"/>
      <c r="F994" s="129"/>
    </row>
    <row r="995" spans="2:6" x14ac:dyDescent="0.2">
      <c r="B995" s="129"/>
      <c r="C995" s="129"/>
      <c r="D995" s="129"/>
      <c r="E995" s="129"/>
      <c r="F995" s="129"/>
    </row>
    <row r="996" spans="2:6" x14ac:dyDescent="0.2">
      <c r="B996" s="129"/>
      <c r="C996" s="129"/>
      <c r="D996" s="129"/>
      <c r="E996" s="129"/>
      <c r="F996" s="129"/>
    </row>
    <row r="997" spans="2:6" x14ac:dyDescent="0.2">
      <c r="B997" s="129"/>
      <c r="C997" s="129"/>
      <c r="D997" s="129"/>
      <c r="E997" s="129"/>
      <c r="F997" s="129"/>
    </row>
    <row r="998" spans="2:6" x14ac:dyDescent="0.2">
      <c r="B998" s="129"/>
      <c r="C998" s="129"/>
      <c r="D998" s="129"/>
      <c r="E998" s="129"/>
      <c r="F998" s="129"/>
    </row>
    <row r="999" spans="2:6" x14ac:dyDescent="0.2">
      <c r="B999" s="129"/>
      <c r="C999" s="129"/>
      <c r="D999" s="129"/>
      <c r="E999" s="129"/>
      <c r="F999" s="129"/>
    </row>
    <row r="1000" spans="2:6" x14ac:dyDescent="0.2">
      <c r="B1000" s="129"/>
      <c r="C1000" s="129"/>
      <c r="D1000" s="129"/>
      <c r="E1000" s="129"/>
      <c r="F1000" s="129"/>
    </row>
    <row r="1001" spans="2:6" x14ac:dyDescent="0.2">
      <c r="B1001" s="129"/>
      <c r="C1001" s="129"/>
      <c r="D1001" s="129"/>
      <c r="E1001" s="129"/>
      <c r="F1001" s="129"/>
    </row>
    <row r="1002" spans="2:6" x14ac:dyDescent="0.2">
      <c r="B1002" s="129"/>
      <c r="C1002" s="129"/>
      <c r="D1002" s="129"/>
      <c r="E1002" s="129"/>
      <c r="F1002" s="129"/>
    </row>
    <row r="1003" spans="2:6" x14ac:dyDescent="0.2">
      <c r="B1003" s="129"/>
      <c r="C1003" s="129"/>
      <c r="D1003" s="129"/>
      <c r="E1003" s="129"/>
      <c r="F1003" s="129"/>
    </row>
    <row r="1004" spans="2:6" x14ac:dyDescent="0.2">
      <c r="B1004" s="129"/>
      <c r="C1004" s="129"/>
      <c r="D1004" s="129"/>
      <c r="E1004" s="129"/>
      <c r="F1004" s="129"/>
    </row>
    <row r="1005" spans="2:6" x14ac:dyDescent="0.2">
      <c r="B1005" s="129"/>
      <c r="C1005" s="129"/>
      <c r="D1005" s="129"/>
      <c r="E1005" s="129"/>
      <c r="F1005" s="129"/>
    </row>
    <row r="1006" spans="2:6" x14ac:dyDescent="0.2">
      <c r="B1006" s="129"/>
      <c r="C1006" s="129"/>
      <c r="D1006" s="129"/>
      <c r="E1006" s="129"/>
      <c r="F1006" s="129"/>
    </row>
    <row r="1007" spans="2:6" x14ac:dyDescent="0.2">
      <c r="B1007" s="129"/>
      <c r="C1007" s="129"/>
      <c r="D1007" s="129"/>
      <c r="E1007" s="129"/>
      <c r="F1007" s="129"/>
    </row>
    <row r="1008" spans="2:6" x14ac:dyDescent="0.2">
      <c r="B1008" s="129"/>
      <c r="C1008" s="129"/>
      <c r="D1008" s="129"/>
      <c r="E1008" s="129"/>
      <c r="F1008" s="129"/>
    </row>
    <row r="1009" spans="2:6" x14ac:dyDescent="0.2">
      <c r="B1009" s="129"/>
      <c r="C1009" s="129"/>
      <c r="D1009" s="129"/>
      <c r="E1009" s="129"/>
      <c r="F1009" s="129"/>
    </row>
    <row r="1010" spans="2:6" x14ac:dyDescent="0.2">
      <c r="B1010" s="129"/>
      <c r="C1010" s="129"/>
      <c r="D1010" s="129"/>
      <c r="E1010" s="129"/>
      <c r="F1010" s="129"/>
    </row>
    <row r="1011" spans="2:6" x14ac:dyDescent="0.2">
      <c r="B1011" s="129"/>
      <c r="C1011" s="129"/>
      <c r="D1011" s="129"/>
      <c r="E1011" s="129"/>
      <c r="F1011" s="129"/>
    </row>
    <row r="1012" spans="2:6" x14ac:dyDescent="0.2">
      <c r="B1012" s="129"/>
      <c r="C1012" s="129"/>
      <c r="D1012" s="129"/>
      <c r="E1012" s="129"/>
      <c r="F1012" s="129"/>
    </row>
    <row r="1013" spans="2:6" x14ac:dyDescent="0.2">
      <c r="B1013" s="129"/>
      <c r="C1013" s="129"/>
      <c r="D1013" s="129"/>
      <c r="E1013" s="129"/>
      <c r="F1013" s="129"/>
    </row>
    <row r="1014" spans="2:6" x14ac:dyDescent="0.2">
      <c r="B1014" s="129"/>
      <c r="C1014" s="129"/>
      <c r="D1014" s="129"/>
      <c r="E1014" s="129"/>
      <c r="F1014" s="129"/>
    </row>
    <row r="1015" spans="2:6" x14ac:dyDescent="0.2">
      <c r="B1015" s="129"/>
      <c r="C1015" s="129"/>
      <c r="D1015" s="129"/>
      <c r="E1015" s="129"/>
      <c r="F1015" s="129"/>
    </row>
    <row r="1016" spans="2:6" x14ac:dyDescent="0.2">
      <c r="B1016" s="129"/>
      <c r="C1016" s="129"/>
      <c r="D1016" s="129"/>
      <c r="E1016" s="129"/>
      <c r="F1016" s="129"/>
    </row>
    <row r="1017" spans="2:6" x14ac:dyDescent="0.2">
      <c r="B1017" s="129"/>
      <c r="C1017" s="129"/>
      <c r="D1017" s="129"/>
      <c r="E1017" s="129"/>
      <c r="F1017" s="129"/>
    </row>
    <row r="1018" spans="2:6" x14ac:dyDescent="0.2">
      <c r="B1018" s="129"/>
      <c r="C1018" s="129"/>
      <c r="D1018" s="129"/>
      <c r="E1018" s="129"/>
      <c r="F1018" s="129"/>
    </row>
    <row r="1019" spans="2:6" x14ac:dyDescent="0.2">
      <c r="B1019" s="129"/>
      <c r="C1019" s="129"/>
      <c r="D1019" s="129"/>
      <c r="E1019" s="129"/>
      <c r="F1019" s="129"/>
    </row>
    <row r="1020" spans="2:6" x14ac:dyDescent="0.2">
      <c r="B1020" s="129"/>
      <c r="C1020" s="129"/>
      <c r="D1020" s="129"/>
      <c r="E1020" s="129"/>
      <c r="F1020" s="129"/>
    </row>
    <row r="1021" spans="2:6" x14ac:dyDescent="0.2">
      <c r="B1021" s="129"/>
      <c r="C1021" s="129"/>
      <c r="D1021" s="129"/>
      <c r="E1021" s="129"/>
      <c r="F1021" s="129"/>
    </row>
    <row r="1022" spans="2:6" x14ac:dyDescent="0.2">
      <c r="B1022" s="129"/>
      <c r="C1022" s="129"/>
      <c r="D1022" s="129"/>
      <c r="E1022" s="129"/>
      <c r="F1022" s="129"/>
    </row>
    <row r="1023" spans="2:6" x14ac:dyDescent="0.2">
      <c r="B1023" s="129"/>
      <c r="C1023" s="129"/>
      <c r="D1023" s="129"/>
      <c r="E1023" s="129"/>
      <c r="F1023" s="129"/>
    </row>
    <row r="1024" spans="2:6" x14ac:dyDescent="0.2">
      <c r="B1024" s="129"/>
      <c r="C1024" s="129"/>
      <c r="D1024" s="129"/>
      <c r="E1024" s="129"/>
      <c r="F1024" s="129"/>
    </row>
    <row r="1025" spans="2:6" x14ac:dyDescent="0.2">
      <c r="B1025" s="129"/>
      <c r="C1025" s="129"/>
      <c r="D1025" s="129"/>
      <c r="E1025" s="129"/>
      <c r="F1025" s="129"/>
    </row>
    <row r="1026" spans="2:6" x14ac:dyDescent="0.2">
      <c r="B1026" s="129"/>
      <c r="C1026" s="129"/>
      <c r="D1026" s="129"/>
      <c r="E1026" s="129"/>
      <c r="F1026" s="129"/>
    </row>
    <row r="1027" spans="2:6" x14ac:dyDescent="0.2">
      <c r="B1027" s="129"/>
      <c r="C1027" s="129"/>
      <c r="D1027" s="129"/>
      <c r="E1027" s="129"/>
      <c r="F1027" s="129"/>
    </row>
    <row r="1028" spans="2:6" x14ac:dyDescent="0.2">
      <c r="B1028" s="129"/>
      <c r="C1028" s="129"/>
      <c r="D1028" s="129"/>
      <c r="E1028" s="129"/>
      <c r="F1028" s="129"/>
    </row>
    <row r="1029" spans="2:6" x14ac:dyDescent="0.2">
      <c r="B1029" s="129"/>
      <c r="C1029" s="129"/>
      <c r="D1029" s="129"/>
      <c r="E1029" s="129"/>
      <c r="F1029" s="129"/>
    </row>
    <row r="1030" spans="2:6" x14ac:dyDescent="0.2">
      <c r="B1030" s="129"/>
      <c r="C1030" s="129"/>
      <c r="D1030" s="129"/>
      <c r="E1030" s="129"/>
      <c r="F1030" s="129"/>
    </row>
    <row r="1031" spans="2:6" x14ac:dyDescent="0.2">
      <c r="B1031" s="129"/>
      <c r="C1031" s="129"/>
      <c r="D1031" s="129"/>
      <c r="E1031" s="129"/>
      <c r="F1031" s="129"/>
    </row>
    <row r="1032" spans="2:6" x14ac:dyDescent="0.2">
      <c r="B1032" s="129"/>
      <c r="C1032" s="129"/>
      <c r="D1032" s="129"/>
      <c r="E1032" s="129"/>
      <c r="F1032" s="129"/>
    </row>
    <row r="1033" spans="2:6" x14ac:dyDescent="0.2">
      <c r="B1033" s="129"/>
      <c r="C1033" s="129"/>
      <c r="D1033" s="129"/>
      <c r="E1033" s="129"/>
      <c r="F1033" s="129"/>
    </row>
    <row r="1034" spans="2:6" x14ac:dyDescent="0.2">
      <c r="B1034" s="129"/>
      <c r="C1034" s="129"/>
      <c r="D1034" s="129"/>
      <c r="E1034" s="129"/>
      <c r="F1034" s="129"/>
    </row>
    <row r="1035" spans="2:6" x14ac:dyDescent="0.2">
      <c r="B1035" s="129"/>
      <c r="C1035" s="129"/>
      <c r="D1035" s="129"/>
      <c r="E1035" s="129"/>
      <c r="F1035" s="129"/>
    </row>
    <row r="1036" spans="2:6" x14ac:dyDescent="0.2">
      <c r="B1036" s="129"/>
      <c r="C1036" s="129"/>
      <c r="D1036" s="129"/>
      <c r="E1036" s="129"/>
      <c r="F1036" s="129"/>
    </row>
    <row r="1037" spans="2:6" x14ac:dyDescent="0.2">
      <c r="B1037" s="129"/>
      <c r="C1037" s="129"/>
      <c r="D1037" s="129"/>
      <c r="E1037" s="129"/>
      <c r="F1037" s="129"/>
    </row>
    <row r="1038" spans="2:6" x14ac:dyDescent="0.2">
      <c r="B1038" s="129"/>
      <c r="C1038" s="129"/>
      <c r="D1038" s="129"/>
      <c r="E1038" s="129"/>
      <c r="F1038" s="129"/>
    </row>
    <row r="1039" spans="2:6" x14ac:dyDescent="0.2">
      <c r="B1039" s="129"/>
      <c r="C1039" s="129"/>
      <c r="D1039" s="129"/>
      <c r="E1039" s="129"/>
      <c r="F1039" s="129"/>
    </row>
    <row r="1040" spans="2:6" x14ac:dyDescent="0.2">
      <c r="B1040" s="129"/>
      <c r="C1040" s="129"/>
      <c r="D1040" s="129"/>
      <c r="E1040" s="129"/>
      <c r="F1040" s="129"/>
    </row>
    <row r="1041" spans="2:6" x14ac:dyDescent="0.2">
      <c r="B1041" s="129"/>
      <c r="C1041" s="129"/>
      <c r="D1041" s="129"/>
      <c r="E1041" s="129"/>
      <c r="F1041" s="129"/>
    </row>
    <row r="1042" spans="2:6" x14ac:dyDescent="0.2">
      <c r="B1042" s="129"/>
      <c r="C1042" s="129"/>
      <c r="D1042" s="129"/>
      <c r="E1042" s="129"/>
      <c r="F1042" s="129"/>
    </row>
    <row r="1043" spans="2:6" x14ac:dyDescent="0.2">
      <c r="B1043" s="129"/>
      <c r="C1043" s="129"/>
      <c r="D1043" s="129"/>
      <c r="E1043" s="129"/>
      <c r="F1043" s="129"/>
    </row>
    <row r="1044" spans="2:6" x14ac:dyDescent="0.2">
      <c r="B1044" s="129"/>
      <c r="C1044" s="129"/>
      <c r="D1044" s="129"/>
      <c r="E1044" s="129"/>
      <c r="F1044" s="129"/>
    </row>
    <row r="1045" spans="2:6" x14ac:dyDescent="0.2">
      <c r="B1045" s="129"/>
      <c r="C1045" s="129"/>
      <c r="D1045" s="129"/>
      <c r="E1045" s="129"/>
      <c r="F1045" s="129"/>
    </row>
    <row r="1046" spans="2:6" x14ac:dyDescent="0.2">
      <c r="B1046" s="129"/>
      <c r="C1046" s="129"/>
      <c r="D1046" s="129"/>
      <c r="E1046" s="129"/>
      <c r="F1046" s="129"/>
    </row>
    <row r="1047" spans="2:6" x14ac:dyDescent="0.2">
      <c r="B1047" s="129"/>
      <c r="C1047" s="129"/>
      <c r="D1047" s="129"/>
      <c r="E1047" s="129"/>
      <c r="F1047" s="129"/>
    </row>
    <row r="1048" spans="2:6" x14ac:dyDescent="0.2">
      <c r="B1048" s="129"/>
      <c r="C1048" s="129"/>
      <c r="D1048" s="129"/>
      <c r="E1048" s="129"/>
      <c r="F1048" s="129"/>
    </row>
    <row r="1049" spans="2:6" x14ac:dyDescent="0.2">
      <c r="B1049" s="129"/>
      <c r="C1049" s="129"/>
      <c r="D1049" s="129"/>
      <c r="E1049" s="129"/>
      <c r="F1049" s="129"/>
    </row>
    <row r="1050" spans="2:6" x14ac:dyDescent="0.2">
      <c r="B1050" s="129"/>
      <c r="C1050" s="129"/>
      <c r="D1050" s="129"/>
      <c r="E1050" s="129"/>
      <c r="F1050" s="129"/>
    </row>
    <row r="1051" spans="2:6" x14ac:dyDescent="0.2">
      <c r="B1051" s="129"/>
      <c r="C1051" s="129"/>
      <c r="D1051" s="129"/>
      <c r="E1051" s="129"/>
      <c r="F1051" s="129"/>
    </row>
    <row r="1052" spans="2:6" x14ac:dyDescent="0.2">
      <c r="B1052" s="129"/>
      <c r="C1052" s="129"/>
      <c r="D1052" s="129"/>
      <c r="E1052" s="129"/>
      <c r="F1052" s="129"/>
    </row>
    <row r="1053" spans="2:6" x14ac:dyDescent="0.2">
      <c r="B1053" s="129"/>
      <c r="C1053" s="129"/>
      <c r="D1053" s="129"/>
      <c r="E1053" s="129"/>
      <c r="F1053" s="129"/>
    </row>
    <row r="1054" spans="2:6" x14ac:dyDescent="0.2">
      <c r="B1054" s="129"/>
      <c r="C1054" s="129"/>
      <c r="D1054" s="129"/>
      <c r="E1054" s="129"/>
      <c r="F1054" s="129"/>
    </row>
    <row r="1055" spans="2:6" x14ac:dyDescent="0.2">
      <c r="B1055" s="129"/>
      <c r="C1055" s="129"/>
      <c r="D1055" s="129"/>
      <c r="E1055" s="129"/>
      <c r="F1055" s="129"/>
    </row>
    <row r="1056" spans="2:6" x14ac:dyDescent="0.2">
      <c r="B1056" s="129"/>
      <c r="C1056" s="129"/>
      <c r="D1056" s="129"/>
      <c r="E1056" s="129"/>
      <c r="F1056" s="129"/>
    </row>
    <row r="1057" spans="2:6" x14ac:dyDescent="0.2">
      <c r="B1057" s="129"/>
      <c r="C1057" s="129"/>
      <c r="D1057" s="129"/>
      <c r="E1057" s="129"/>
      <c r="F1057" s="129"/>
    </row>
    <row r="1058" spans="2:6" x14ac:dyDescent="0.2">
      <c r="B1058" s="129"/>
      <c r="C1058" s="129"/>
      <c r="D1058" s="129"/>
      <c r="E1058" s="129"/>
      <c r="F1058" s="129"/>
    </row>
    <row r="1059" spans="2:6" x14ac:dyDescent="0.2">
      <c r="B1059" s="129"/>
      <c r="C1059" s="129"/>
      <c r="D1059" s="129"/>
      <c r="E1059" s="129"/>
      <c r="F1059" s="129"/>
    </row>
    <row r="1060" spans="2:6" x14ac:dyDescent="0.2">
      <c r="B1060" s="129"/>
      <c r="C1060" s="129"/>
      <c r="D1060" s="129"/>
      <c r="E1060" s="129"/>
      <c r="F1060" s="129"/>
    </row>
    <row r="1061" spans="2:6" x14ac:dyDescent="0.2">
      <c r="B1061" s="129"/>
      <c r="C1061" s="129"/>
      <c r="D1061" s="129"/>
      <c r="E1061" s="129"/>
      <c r="F1061" s="129"/>
    </row>
    <row r="1062" spans="2:6" x14ac:dyDescent="0.2">
      <c r="B1062" s="129"/>
      <c r="C1062" s="129"/>
      <c r="D1062" s="129"/>
      <c r="E1062" s="129"/>
      <c r="F1062" s="129"/>
    </row>
    <row r="1063" spans="2:6" x14ac:dyDescent="0.2">
      <c r="B1063" s="129"/>
      <c r="C1063" s="129"/>
      <c r="D1063" s="129"/>
      <c r="E1063" s="129"/>
      <c r="F1063" s="129"/>
    </row>
    <row r="1064" spans="2:6" x14ac:dyDescent="0.2">
      <c r="B1064" s="129"/>
      <c r="C1064" s="129"/>
      <c r="D1064" s="129"/>
      <c r="E1064" s="129"/>
      <c r="F1064" s="129"/>
    </row>
    <row r="1065" spans="2:6" x14ac:dyDescent="0.2">
      <c r="B1065" s="129"/>
      <c r="C1065" s="129"/>
      <c r="D1065" s="129"/>
      <c r="E1065" s="129"/>
      <c r="F1065" s="129"/>
    </row>
    <row r="1066" spans="2:6" x14ac:dyDescent="0.2">
      <c r="B1066" s="129"/>
      <c r="C1066" s="129"/>
      <c r="D1066" s="129"/>
      <c r="E1066" s="129"/>
      <c r="F1066" s="129"/>
    </row>
    <row r="1067" spans="2:6" x14ac:dyDescent="0.2">
      <c r="B1067" s="129"/>
      <c r="C1067" s="129"/>
      <c r="D1067" s="129"/>
      <c r="E1067" s="129"/>
      <c r="F1067" s="129"/>
    </row>
    <row r="1068" spans="2:6" x14ac:dyDescent="0.2">
      <c r="B1068" s="129"/>
      <c r="C1068" s="129"/>
      <c r="D1068" s="129"/>
      <c r="E1068" s="129"/>
      <c r="F1068" s="129"/>
    </row>
    <row r="1069" spans="2:6" x14ac:dyDescent="0.2">
      <c r="B1069" s="129"/>
      <c r="C1069" s="129"/>
      <c r="D1069" s="129"/>
      <c r="E1069" s="129"/>
      <c r="F1069" s="129"/>
    </row>
    <row r="1070" spans="2:6" x14ac:dyDescent="0.2">
      <c r="B1070" s="129"/>
      <c r="C1070" s="129"/>
      <c r="D1070" s="129"/>
      <c r="E1070" s="129"/>
      <c r="F1070" s="129"/>
    </row>
    <row r="1071" spans="2:6" x14ac:dyDescent="0.2">
      <c r="B1071" s="129"/>
      <c r="C1071" s="129"/>
      <c r="D1071" s="129"/>
      <c r="E1071" s="129"/>
      <c r="F1071" s="129"/>
    </row>
    <row r="1072" spans="2:6" x14ac:dyDescent="0.2">
      <c r="B1072" s="129"/>
      <c r="C1072" s="129"/>
      <c r="D1072" s="129"/>
      <c r="E1072" s="129"/>
      <c r="F1072" s="129"/>
    </row>
    <row r="1073" spans="2:6" x14ac:dyDescent="0.2">
      <c r="B1073" s="129"/>
      <c r="C1073" s="129"/>
      <c r="D1073" s="129"/>
      <c r="E1073" s="129"/>
      <c r="F1073" s="129"/>
    </row>
    <row r="1074" spans="2:6" x14ac:dyDescent="0.2">
      <c r="B1074" s="129"/>
      <c r="C1074" s="129"/>
      <c r="D1074" s="129"/>
      <c r="E1074" s="129"/>
      <c r="F1074" s="129"/>
    </row>
    <row r="1075" spans="2:6" x14ac:dyDescent="0.2">
      <c r="B1075" s="129"/>
      <c r="C1075" s="129"/>
      <c r="D1075" s="129"/>
      <c r="E1075" s="129"/>
      <c r="F1075" s="129"/>
    </row>
    <row r="1076" spans="2:6" x14ac:dyDescent="0.2">
      <c r="B1076" s="129"/>
      <c r="C1076" s="129"/>
      <c r="D1076" s="129"/>
      <c r="E1076" s="129"/>
      <c r="F1076" s="129"/>
    </row>
    <row r="1077" spans="2:6" x14ac:dyDescent="0.2">
      <c r="B1077" s="129"/>
      <c r="C1077" s="129"/>
      <c r="D1077" s="129"/>
      <c r="E1077" s="129"/>
      <c r="F1077" s="129"/>
    </row>
    <row r="1078" spans="2:6" x14ac:dyDescent="0.2">
      <c r="B1078" s="129"/>
      <c r="C1078" s="129"/>
      <c r="D1078" s="129"/>
      <c r="E1078" s="129"/>
      <c r="F1078" s="129"/>
    </row>
    <row r="1079" spans="2:6" x14ac:dyDescent="0.2">
      <c r="B1079" s="129"/>
      <c r="C1079" s="129"/>
      <c r="D1079" s="129"/>
      <c r="E1079" s="129"/>
      <c r="F1079" s="129"/>
    </row>
    <row r="1080" spans="2:6" x14ac:dyDescent="0.2">
      <c r="B1080" s="129"/>
      <c r="C1080" s="129"/>
      <c r="D1080" s="129"/>
      <c r="E1080" s="129"/>
      <c r="F1080" s="129"/>
    </row>
    <row r="1081" spans="2:6" x14ac:dyDescent="0.2">
      <c r="B1081" s="129"/>
      <c r="C1081" s="129"/>
      <c r="D1081" s="129"/>
      <c r="E1081" s="129"/>
      <c r="F1081" s="129"/>
    </row>
    <row r="1082" spans="2:6" x14ac:dyDescent="0.2">
      <c r="B1082" s="129"/>
      <c r="C1082" s="129"/>
      <c r="D1082" s="129"/>
      <c r="E1082" s="129"/>
      <c r="F1082" s="129"/>
    </row>
    <row r="1083" spans="2:6" x14ac:dyDescent="0.2">
      <c r="B1083" s="129"/>
      <c r="C1083" s="129"/>
      <c r="D1083" s="129"/>
      <c r="E1083" s="129"/>
      <c r="F1083" s="129"/>
    </row>
    <row r="1084" spans="2:6" x14ac:dyDescent="0.2">
      <c r="B1084" s="129"/>
      <c r="C1084" s="129"/>
      <c r="D1084" s="129"/>
      <c r="E1084" s="129"/>
      <c r="F1084" s="129"/>
    </row>
    <row r="1085" spans="2:6" x14ac:dyDescent="0.2">
      <c r="B1085" s="129"/>
      <c r="C1085" s="129"/>
      <c r="D1085" s="129"/>
      <c r="E1085" s="129"/>
      <c r="F1085" s="129"/>
    </row>
    <row r="1086" spans="2:6" x14ac:dyDescent="0.2">
      <c r="B1086" s="129"/>
      <c r="C1086" s="129"/>
      <c r="D1086" s="129"/>
      <c r="E1086" s="129"/>
      <c r="F1086" s="129"/>
    </row>
    <row r="1087" spans="2:6" x14ac:dyDescent="0.2">
      <c r="B1087" s="129"/>
      <c r="C1087" s="129"/>
      <c r="D1087" s="129"/>
      <c r="E1087" s="129"/>
      <c r="F1087" s="129"/>
    </row>
    <row r="1088" spans="2:6" x14ac:dyDescent="0.2">
      <c r="B1088" s="129"/>
      <c r="C1088" s="129"/>
      <c r="D1088" s="129"/>
      <c r="E1088" s="129"/>
      <c r="F1088" s="129"/>
    </row>
    <row r="1089" spans="2:6" x14ac:dyDescent="0.2">
      <c r="B1089" s="129"/>
      <c r="C1089" s="129"/>
      <c r="D1089" s="129"/>
      <c r="E1089" s="129"/>
      <c r="F1089" s="129"/>
    </row>
    <row r="1090" spans="2:6" x14ac:dyDescent="0.2">
      <c r="B1090" s="129"/>
      <c r="C1090" s="129"/>
      <c r="D1090" s="129"/>
      <c r="E1090" s="129"/>
      <c r="F1090" s="129"/>
    </row>
    <row r="1091" spans="2:6" x14ac:dyDescent="0.2">
      <c r="B1091" s="129"/>
      <c r="C1091" s="129"/>
      <c r="D1091" s="129"/>
      <c r="E1091" s="129"/>
      <c r="F1091" s="129"/>
    </row>
    <row r="1092" spans="2:6" x14ac:dyDescent="0.2">
      <c r="B1092" s="129"/>
      <c r="C1092" s="129"/>
      <c r="D1092" s="129"/>
      <c r="E1092" s="129"/>
      <c r="F1092" s="129"/>
    </row>
    <row r="1093" spans="2:6" x14ac:dyDescent="0.2">
      <c r="B1093" s="129"/>
      <c r="C1093" s="129"/>
      <c r="D1093" s="129"/>
      <c r="E1093" s="129"/>
      <c r="F1093" s="129"/>
    </row>
    <row r="1094" spans="2:6" x14ac:dyDescent="0.2">
      <c r="B1094" s="129"/>
      <c r="C1094" s="129"/>
      <c r="D1094" s="129"/>
      <c r="E1094" s="129"/>
      <c r="F1094" s="129"/>
    </row>
    <row r="1095" spans="2:6" x14ac:dyDescent="0.2">
      <c r="B1095" s="129"/>
      <c r="C1095" s="129"/>
      <c r="D1095" s="129"/>
      <c r="E1095" s="129"/>
      <c r="F1095" s="129"/>
    </row>
    <row r="1096" spans="2:6" x14ac:dyDescent="0.2">
      <c r="B1096" s="129"/>
      <c r="C1096" s="129"/>
      <c r="D1096" s="129"/>
      <c r="E1096" s="129"/>
      <c r="F1096" s="129"/>
    </row>
    <row r="1097" spans="2:6" x14ac:dyDescent="0.2">
      <c r="B1097" s="129"/>
      <c r="C1097" s="129"/>
      <c r="D1097" s="129"/>
      <c r="E1097" s="129"/>
      <c r="F1097" s="129"/>
    </row>
    <row r="1098" spans="2:6" x14ac:dyDescent="0.2">
      <c r="B1098" s="129"/>
      <c r="C1098" s="129"/>
      <c r="D1098" s="129"/>
      <c r="E1098" s="129"/>
      <c r="F1098" s="129"/>
    </row>
    <row r="1099" spans="2:6" x14ac:dyDescent="0.2">
      <c r="B1099" s="129"/>
      <c r="C1099" s="129"/>
      <c r="D1099" s="129"/>
      <c r="E1099" s="129"/>
      <c r="F1099" s="129"/>
    </row>
    <row r="1100" spans="2:6" x14ac:dyDescent="0.2">
      <c r="B1100" s="129"/>
      <c r="C1100" s="129"/>
      <c r="D1100" s="129"/>
      <c r="E1100" s="129"/>
      <c r="F1100" s="129"/>
    </row>
    <row r="1101" spans="2:6" x14ac:dyDescent="0.2">
      <c r="B1101" s="129"/>
      <c r="C1101" s="129"/>
      <c r="D1101" s="129"/>
      <c r="E1101" s="129"/>
      <c r="F1101" s="129"/>
    </row>
    <row r="1102" spans="2:6" x14ac:dyDescent="0.2">
      <c r="B1102" s="129"/>
      <c r="C1102" s="129"/>
      <c r="D1102" s="129"/>
      <c r="E1102" s="129"/>
      <c r="F1102" s="129"/>
    </row>
    <row r="1103" spans="2:6" x14ac:dyDescent="0.2">
      <c r="B1103" s="129"/>
      <c r="C1103" s="129"/>
      <c r="D1103" s="129"/>
      <c r="E1103" s="129"/>
      <c r="F1103" s="129"/>
    </row>
    <row r="1104" spans="2:6" x14ac:dyDescent="0.2">
      <c r="B1104" s="129"/>
      <c r="C1104" s="129"/>
      <c r="D1104" s="129"/>
      <c r="E1104" s="129"/>
      <c r="F1104" s="129"/>
    </row>
    <row r="1105" spans="2:6" x14ac:dyDescent="0.2">
      <c r="B1105" s="129"/>
      <c r="C1105" s="129"/>
      <c r="D1105" s="129"/>
      <c r="E1105" s="129"/>
      <c r="F1105" s="129"/>
    </row>
    <row r="1106" spans="2:6" x14ac:dyDescent="0.2">
      <c r="B1106" s="129"/>
      <c r="C1106" s="129"/>
      <c r="D1106" s="129"/>
      <c r="E1106" s="129"/>
      <c r="F1106" s="129"/>
    </row>
    <row r="1107" spans="2:6" x14ac:dyDescent="0.2">
      <c r="B1107" s="129"/>
      <c r="C1107" s="129"/>
      <c r="D1107" s="129"/>
      <c r="E1107" s="129"/>
      <c r="F1107" s="129"/>
    </row>
    <row r="1108" spans="2:6" x14ac:dyDescent="0.2">
      <c r="B1108" s="129"/>
      <c r="C1108" s="129"/>
      <c r="D1108" s="129"/>
      <c r="E1108" s="129"/>
      <c r="F1108" s="129"/>
    </row>
    <row r="1109" spans="2:6" x14ac:dyDescent="0.2">
      <c r="B1109" s="129"/>
      <c r="C1109" s="129"/>
      <c r="D1109" s="129"/>
      <c r="E1109" s="129"/>
      <c r="F1109" s="129"/>
    </row>
    <row r="1110" spans="2:6" x14ac:dyDescent="0.2">
      <c r="B1110" s="129"/>
      <c r="C1110" s="129"/>
      <c r="D1110" s="129"/>
      <c r="E1110" s="129"/>
      <c r="F1110" s="129"/>
    </row>
    <row r="1111" spans="2:6" x14ac:dyDescent="0.2">
      <c r="B1111" s="129"/>
      <c r="C1111" s="129"/>
      <c r="D1111" s="129"/>
      <c r="E1111" s="129"/>
      <c r="F1111" s="129"/>
    </row>
    <row r="1112" spans="2:6" x14ac:dyDescent="0.2">
      <c r="B1112" s="129"/>
      <c r="C1112" s="129"/>
      <c r="D1112" s="129"/>
      <c r="E1112" s="129"/>
      <c r="F1112" s="129"/>
    </row>
    <row r="1113" spans="2:6" x14ac:dyDescent="0.2">
      <c r="B1113" s="129"/>
      <c r="C1113" s="129"/>
      <c r="D1113" s="129"/>
      <c r="E1113" s="129"/>
      <c r="F1113" s="129"/>
    </row>
    <row r="1114" spans="2:6" x14ac:dyDescent="0.2">
      <c r="B1114" s="129"/>
      <c r="C1114" s="129"/>
      <c r="D1114" s="129"/>
      <c r="E1114" s="129"/>
      <c r="F1114" s="129"/>
    </row>
    <row r="1115" spans="2:6" x14ac:dyDescent="0.2">
      <c r="B1115" s="129"/>
      <c r="C1115" s="129"/>
      <c r="D1115" s="129"/>
      <c r="E1115" s="129"/>
      <c r="F1115" s="129"/>
    </row>
    <row r="1116" spans="2:6" x14ac:dyDescent="0.2">
      <c r="B1116" s="129"/>
      <c r="C1116" s="129"/>
      <c r="D1116" s="129"/>
      <c r="E1116" s="129"/>
      <c r="F1116" s="129"/>
    </row>
    <row r="1117" spans="2:6" x14ac:dyDescent="0.2">
      <c r="B1117" s="129"/>
      <c r="C1117" s="129"/>
      <c r="D1117" s="129"/>
      <c r="E1117" s="129"/>
      <c r="F1117" s="129"/>
    </row>
    <row r="1118" spans="2:6" x14ac:dyDescent="0.2">
      <c r="B1118" s="129"/>
      <c r="C1118" s="129"/>
      <c r="D1118" s="129"/>
      <c r="E1118" s="129"/>
      <c r="F1118" s="129"/>
    </row>
    <row r="1119" spans="2:6" x14ac:dyDescent="0.2">
      <c r="B1119" s="129"/>
      <c r="C1119" s="129"/>
      <c r="D1119" s="129"/>
      <c r="E1119" s="129"/>
      <c r="F1119" s="129"/>
    </row>
    <row r="1120" spans="2:6" x14ac:dyDescent="0.2">
      <c r="B1120" s="129"/>
      <c r="C1120" s="129"/>
      <c r="D1120" s="129"/>
      <c r="E1120" s="129"/>
      <c r="F1120" s="129"/>
    </row>
    <row r="1121" spans="2:6" x14ac:dyDescent="0.2">
      <c r="B1121" s="129"/>
      <c r="C1121" s="129"/>
      <c r="D1121" s="129"/>
      <c r="E1121" s="129"/>
      <c r="F1121" s="129"/>
    </row>
    <row r="1122" spans="2:6" x14ac:dyDescent="0.2">
      <c r="B1122" s="129"/>
      <c r="C1122" s="129"/>
      <c r="D1122" s="129"/>
      <c r="E1122" s="129"/>
      <c r="F1122" s="129"/>
    </row>
    <row r="1123" spans="2:6" x14ac:dyDescent="0.2">
      <c r="B1123" s="129"/>
      <c r="C1123" s="129"/>
      <c r="D1123" s="129"/>
      <c r="E1123" s="129"/>
      <c r="F1123" s="129"/>
    </row>
    <row r="1124" spans="2:6" x14ac:dyDescent="0.2">
      <c r="B1124" s="129"/>
      <c r="C1124" s="129"/>
      <c r="D1124" s="129"/>
      <c r="E1124" s="129"/>
      <c r="F1124" s="129"/>
    </row>
    <row r="1125" spans="2:6" x14ac:dyDescent="0.2">
      <c r="B1125" s="129"/>
      <c r="C1125" s="129"/>
      <c r="D1125" s="129"/>
      <c r="E1125" s="129"/>
      <c r="F1125" s="129"/>
    </row>
    <row r="1126" spans="2:6" x14ac:dyDescent="0.2">
      <c r="B1126" s="129"/>
      <c r="C1126" s="129"/>
      <c r="D1126" s="129"/>
      <c r="E1126" s="129"/>
      <c r="F1126" s="129"/>
    </row>
    <row r="1127" spans="2:6" x14ac:dyDescent="0.2">
      <c r="B1127" s="129"/>
      <c r="C1127" s="129"/>
      <c r="D1127" s="129"/>
      <c r="E1127" s="129"/>
      <c r="F1127" s="129"/>
    </row>
    <row r="1128" spans="2:6" x14ac:dyDescent="0.2">
      <c r="B1128" s="129"/>
      <c r="C1128" s="129"/>
      <c r="D1128" s="129"/>
      <c r="E1128" s="129"/>
      <c r="F1128" s="129"/>
    </row>
    <row r="1129" spans="2:6" x14ac:dyDescent="0.2">
      <c r="B1129" s="129"/>
      <c r="C1129" s="129"/>
      <c r="D1129" s="129"/>
      <c r="E1129" s="129"/>
      <c r="F1129" s="129"/>
    </row>
    <row r="1130" spans="2:6" x14ac:dyDescent="0.2">
      <c r="B1130" s="129"/>
      <c r="C1130" s="129"/>
      <c r="D1130" s="129"/>
      <c r="E1130" s="129"/>
      <c r="F1130" s="129"/>
    </row>
    <row r="1131" spans="2:6" x14ac:dyDescent="0.2">
      <c r="B1131" s="129"/>
      <c r="C1131" s="129"/>
      <c r="D1131" s="129"/>
      <c r="E1131" s="129"/>
      <c r="F1131" s="129"/>
    </row>
    <row r="1132" spans="2:6" x14ac:dyDescent="0.2">
      <c r="B1132" s="129"/>
      <c r="C1132" s="129"/>
      <c r="D1132" s="129"/>
      <c r="E1132" s="129"/>
      <c r="F1132" s="129"/>
    </row>
    <row r="1133" spans="2:6" x14ac:dyDescent="0.2">
      <c r="B1133" s="129"/>
      <c r="C1133" s="129"/>
      <c r="D1133" s="129"/>
      <c r="E1133" s="129"/>
      <c r="F1133" s="129"/>
    </row>
    <row r="1134" spans="2:6" x14ac:dyDescent="0.2">
      <c r="B1134" s="129"/>
      <c r="C1134" s="129"/>
      <c r="D1134" s="129"/>
      <c r="E1134" s="129"/>
      <c r="F1134" s="129"/>
    </row>
    <row r="1135" spans="2:6" x14ac:dyDescent="0.2">
      <c r="B1135" s="129"/>
      <c r="C1135" s="129"/>
      <c r="D1135" s="129"/>
      <c r="E1135" s="129"/>
      <c r="F1135" s="129"/>
    </row>
    <row r="1136" spans="2:6" x14ac:dyDescent="0.2">
      <c r="B1136" s="129"/>
      <c r="C1136" s="129"/>
      <c r="D1136" s="129"/>
      <c r="E1136" s="129"/>
      <c r="F1136" s="129"/>
    </row>
    <row r="1137" spans="2:6" x14ac:dyDescent="0.2">
      <c r="B1137" s="129"/>
      <c r="C1137" s="129"/>
      <c r="D1137" s="129"/>
      <c r="E1137" s="129"/>
      <c r="F1137" s="129"/>
    </row>
    <row r="1138" spans="2:6" x14ac:dyDescent="0.2">
      <c r="B1138" s="129"/>
      <c r="C1138" s="129"/>
      <c r="D1138" s="129"/>
      <c r="E1138" s="129"/>
      <c r="F1138" s="129"/>
    </row>
    <row r="1139" spans="2:6" x14ac:dyDescent="0.2">
      <c r="B1139" s="129"/>
      <c r="C1139" s="129"/>
      <c r="D1139" s="129"/>
      <c r="E1139" s="129"/>
      <c r="F1139" s="129"/>
    </row>
    <row r="1140" spans="2:6" x14ac:dyDescent="0.2">
      <c r="B1140" s="129"/>
      <c r="C1140" s="129"/>
      <c r="D1140" s="129"/>
      <c r="E1140" s="129"/>
      <c r="F1140" s="129"/>
    </row>
    <row r="1141" spans="2:6" x14ac:dyDescent="0.2">
      <c r="B1141" s="129"/>
      <c r="C1141" s="129"/>
      <c r="D1141" s="129"/>
      <c r="E1141" s="129"/>
      <c r="F1141" s="129"/>
    </row>
    <row r="1142" spans="2:6" x14ac:dyDescent="0.2">
      <c r="B1142" s="129"/>
      <c r="C1142" s="129"/>
      <c r="D1142" s="129"/>
      <c r="E1142" s="129"/>
      <c r="F1142" s="129"/>
    </row>
    <row r="1143" spans="2:6" x14ac:dyDescent="0.2">
      <c r="B1143" s="129"/>
      <c r="C1143" s="129"/>
      <c r="D1143" s="129"/>
      <c r="E1143" s="129"/>
      <c r="F1143" s="129"/>
    </row>
    <row r="1144" spans="2:6" x14ac:dyDescent="0.2">
      <c r="B1144" s="129"/>
      <c r="C1144" s="129"/>
      <c r="D1144" s="129"/>
      <c r="E1144" s="129"/>
      <c r="F1144" s="129"/>
    </row>
    <row r="1145" spans="2:6" x14ac:dyDescent="0.2">
      <c r="B1145" s="129"/>
      <c r="C1145" s="129"/>
      <c r="D1145" s="129"/>
      <c r="E1145" s="129"/>
      <c r="F1145" s="129"/>
    </row>
    <row r="1146" spans="2:6" x14ac:dyDescent="0.2">
      <c r="B1146" s="129"/>
      <c r="C1146" s="129"/>
      <c r="D1146" s="129"/>
      <c r="E1146" s="129"/>
      <c r="F1146" s="129"/>
    </row>
    <row r="1147" spans="2:6" x14ac:dyDescent="0.2">
      <c r="B1147" s="129"/>
      <c r="C1147" s="129"/>
      <c r="D1147" s="129"/>
      <c r="E1147" s="129"/>
      <c r="F1147" s="129"/>
    </row>
    <row r="1148" spans="2:6" x14ac:dyDescent="0.2">
      <c r="B1148" s="129"/>
      <c r="C1148" s="129"/>
      <c r="D1148" s="129"/>
      <c r="E1148" s="129"/>
      <c r="F1148" s="129"/>
    </row>
    <row r="1149" spans="2:6" x14ac:dyDescent="0.2">
      <c r="B1149" s="129"/>
      <c r="C1149" s="129"/>
      <c r="D1149" s="129"/>
      <c r="E1149" s="129"/>
      <c r="F1149" s="129"/>
    </row>
    <row r="1150" spans="2:6" x14ac:dyDescent="0.2">
      <c r="B1150" s="129"/>
      <c r="C1150" s="129"/>
      <c r="D1150" s="129"/>
      <c r="E1150" s="129"/>
      <c r="F1150" s="129"/>
    </row>
    <row r="1151" spans="2:6" x14ac:dyDescent="0.2">
      <c r="B1151" s="129"/>
      <c r="C1151" s="129"/>
      <c r="D1151" s="129"/>
      <c r="E1151" s="129"/>
      <c r="F1151" s="129"/>
    </row>
    <row r="1152" spans="2:6" x14ac:dyDescent="0.2">
      <c r="B1152" s="129"/>
      <c r="C1152" s="129"/>
      <c r="D1152" s="129"/>
      <c r="E1152" s="129"/>
      <c r="F1152" s="129"/>
    </row>
    <row r="1153" spans="2:6" x14ac:dyDescent="0.2">
      <c r="B1153" s="129"/>
      <c r="C1153" s="129"/>
      <c r="D1153" s="129"/>
      <c r="E1153" s="129"/>
      <c r="F1153" s="129"/>
    </row>
    <row r="1154" spans="2:6" x14ac:dyDescent="0.2">
      <c r="B1154" s="129"/>
      <c r="C1154" s="129"/>
      <c r="D1154" s="129"/>
      <c r="E1154" s="129"/>
      <c r="F1154" s="129"/>
    </row>
    <row r="1155" spans="2:6" x14ac:dyDescent="0.2">
      <c r="B1155" s="129"/>
      <c r="C1155" s="129"/>
      <c r="D1155" s="129"/>
      <c r="E1155" s="129"/>
      <c r="F1155" s="129"/>
    </row>
    <row r="1156" spans="2:6" x14ac:dyDescent="0.2">
      <c r="B1156" s="129"/>
      <c r="C1156" s="129"/>
      <c r="D1156" s="129"/>
      <c r="E1156" s="129"/>
      <c r="F1156" s="129"/>
    </row>
    <row r="1157" spans="2:6" x14ac:dyDescent="0.2">
      <c r="B1157" s="129"/>
      <c r="C1157" s="129"/>
      <c r="D1157" s="129"/>
      <c r="E1157" s="129"/>
      <c r="F1157" s="129"/>
    </row>
    <row r="1158" spans="2:6" x14ac:dyDescent="0.2">
      <c r="B1158" s="129"/>
      <c r="C1158" s="129"/>
      <c r="D1158" s="129"/>
      <c r="E1158" s="129"/>
      <c r="F1158" s="129"/>
    </row>
    <row r="1159" spans="2:6" x14ac:dyDescent="0.2">
      <c r="B1159" s="129"/>
      <c r="C1159" s="129"/>
      <c r="D1159" s="129"/>
      <c r="E1159" s="129"/>
      <c r="F1159" s="129"/>
    </row>
    <row r="1160" spans="2:6" x14ac:dyDescent="0.2">
      <c r="B1160" s="129"/>
      <c r="C1160" s="129"/>
      <c r="D1160" s="129"/>
      <c r="E1160" s="129"/>
      <c r="F1160" s="129"/>
    </row>
    <row r="1161" spans="2:6" x14ac:dyDescent="0.2">
      <c r="B1161" s="129"/>
      <c r="C1161" s="129"/>
      <c r="D1161" s="129"/>
      <c r="E1161" s="129"/>
      <c r="F1161" s="129"/>
    </row>
    <row r="1162" spans="2:6" x14ac:dyDescent="0.2">
      <c r="B1162" s="129"/>
      <c r="C1162" s="129"/>
      <c r="D1162" s="129"/>
      <c r="E1162" s="129"/>
      <c r="F1162" s="129"/>
    </row>
    <row r="1163" spans="2:6" x14ac:dyDescent="0.2">
      <c r="B1163" s="129"/>
      <c r="C1163" s="129"/>
      <c r="D1163" s="129"/>
      <c r="E1163" s="129"/>
      <c r="F1163" s="129"/>
    </row>
    <row r="1164" spans="2:6" x14ac:dyDescent="0.2">
      <c r="B1164" s="129"/>
      <c r="C1164" s="129"/>
      <c r="D1164" s="129"/>
      <c r="E1164" s="129"/>
      <c r="F1164" s="129"/>
    </row>
    <row r="1165" spans="2:6" x14ac:dyDescent="0.2">
      <c r="B1165" s="129"/>
      <c r="C1165" s="129"/>
      <c r="D1165" s="129"/>
      <c r="E1165" s="129"/>
      <c r="F1165" s="129"/>
    </row>
    <row r="1166" spans="2:6" x14ac:dyDescent="0.2">
      <c r="B1166" s="129"/>
      <c r="C1166" s="129"/>
      <c r="D1166" s="129"/>
      <c r="E1166" s="129"/>
      <c r="F1166" s="129"/>
    </row>
    <row r="1167" spans="2:6" x14ac:dyDescent="0.2">
      <c r="B1167" s="129"/>
      <c r="C1167" s="129"/>
      <c r="D1167" s="129"/>
      <c r="E1167" s="129"/>
      <c r="F1167" s="129"/>
    </row>
    <row r="1168" spans="2:6" x14ac:dyDescent="0.2">
      <c r="B1168" s="129"/>
      <c r="C1168" s="129"/>
      <c r="D1168" s="129"/>
      <c r="E1168" s="129"/>
      <c r="F1168" s="129"/>
    </row>
    <row r="1169" spans="2:6" x14ac:dyDescent="0.2">
      <c r="B1169" s="129"/>
      <c r="C1169" s="129"/>
      <c r="D1169" s="129"/>
      <c r="E1169" s="129"/>
      <c r="F1169" s="129"/>
    </row>
    <row r="1170" spans="2:6" x14ac:dyDescent="0.2">
      <c r="B1170" s="129"/>
      <c r="C1170" s="129"/>
      <c r="D1170" s="129"/>
      <c r="E1170" s="129"/>
      <c r="F1170" s="129"/>
    </row>
    <row r="1171" spans="2:6" x14ac:dyDescent="0.2">
      <c r="B1171" s="129"/>
      <c r="C1171" s="129"/>
      <c r="D1171" s="129"/>
      <c r="E1171" s="129"/>
      <c r="F1171" s="129"/>
    </row>
    <row r="1172" spans="2:6" x14ac:dyDescent="0.2">
      <c r="B1172" s="129"/>
      <c r="C1172" s="129"/>
      <c r="D1172" s="129"/>
      <c r="E1172" s="129"/>
      <c r="F1172" s="129"/>
    </row>
    <row r="1173" spans="2:6" x14ac:dyDescent="0.2">
      <c r="B1173" s="129"/>
      <c r="C1173" s="129"/>
      <c r="D1173" s="129"/>
      <c r="E1173" s="129"/>
      <c r="F1173" s="129"/>
    </row>
    <row r="1174" spans="2:6" x14ac:dyDescent="0.2">
      <c r="B1174" s="129"/>
      <c r="C1174" s="129"/>
      <c r="D1174" s="129"/>
      <c r="E1174" s="129"/>
      <c r="F1174" s="129"/>
    </row>
    <row r="1175" spans="2:6" x14ac:dyDescent="0.2">
      <c r="B1175" s="129"/>
      <c r="C1175" s="129"/>
      <c r="D1175" s="129"/>
      <c r="E1175" s="129"/>
      <c r="F1175" s="129"/>
    </row>
    <row r="1176" spans="2:6" x14ac:dyDescent="0.2">
      <c r="B1176" s="129"/>
      <c r="C1176" s="129"/>
      <c r="D1176" s="129"/>
      <c r="E1176" s="129"/>
      <c r="F1176" s="129"/>
    </row>
    <row r="1177" spans="2:6" x14ac:dyDescent="0.2">
      <c r="B1177" s="129"/>
      <c r="C1177" s="129"/>
      <c r="D1177" s="129"/>
      <c r="E1177" s="129"/>
      <c r="F1177" s="129"/>
    </row>
    <row r="1178" spans="2:6" x14ac:dyDescent="0.2">
      <c r="B1178" s="129"/>
      <c r="C1178" s="129"/>
      <c r="D1178" s="129"/>
      <c r="E1178" s="129"/>
      <c r="F1178" s="129"/>
    </row>
    <row r="1179" spans="2:6" x14ac:dyDescent="0.2">
      <c r="B1179" s="129"/>
      <c r="C1179" s="129"/>
      <c r="D1179" s="129"/>
      <c r="E1179" s="129"/>
      <c r="F1179" s="129"/>
    </row>
    <row r="1180" spans="2:6" x14ac:dyDescent="0.2">
      <c r="B1180" s="129"/>
      <c r="C1180" s="129"/>
      <c r="D1180" s="129"/>
      <c r="E1180" s="129"/>
      <c r="F1180" s="129"/>
    </row>
    <row r="1181" spans="2:6" x14ac:dyDescent="0.2">
      <c r="B1181" s="129"/>
      <c r="C1181" s="129"/>
      <c r="D1181" s="129"/>
      <c r="E1181" s="129"/>
      <c r="F1181" s="129"/>
    </row>
    <row r="1182" spans="2:6" x14ac:dyDescent="0.2">
      <c r="B1182" s="129"/>
      <c r="C1182" s="129"/>
      <c r="D1182" s="129"/>
      <c r="E1182" s="129"/>
      <c r="F1182" s="129"/>
    </row>
    <row r="1183" spans="2:6" x14ac:dyDescent="0.2">
      <c r="B1183" s="129"/>
      <c r="C1183" s="129"/>
      <c r="D1183" s="129"/>
      <c r="E1183" s="129"/>
      <c r="F1183" s="129"/>
    </row>
    <row r="1184" spans="2:6" x14ac:dyDescent="0.2">
      <c r="B1184" s="129"/>
      <c r="C1184" s="129"/>
      <c r="D1184" s="129"/>
      <c r="E1184" s="129"/>
      <c r="F1184" s="129"/>
    </row>
    <row r="1185" spans="2:6" x14ac:dyDescent="0.2">
      <c r="B1185" s="129"/>
      <c r="C1185" s="129"/>
      <c r="D1185" s="129"/>
      <c r="E1185" s="129"/>
      <c r="F1185" s="129"/>
    </row>
    <row r="1186" spans="2:6" x14ac:dyDescent="0.2">
      <c r="B1186" s="129"/>
      <c r="C1186" s="129"/>
      <c r="D1186" s="129"/>
      <c r="E1186" s="129"/>
      <c r="F1186" s="129"/>
    </row>
    <row r="1187" spans="2:6" x14ac:dyDescent="0.2">
      <c r="B1187" s="129"/>
      <c r="C1187" s="129"/>
      <c r="D1187" s="129"/>
      <c r="E1187" s="129"/>
      <c r="F1187" s="129"/>
    </row>
    <row r="1188" spans="2:6" x14ac:dyDescent="0.2">
      <c r="B1188" s="129"/>
      <c r="C1188" s="129"/>
      <c r="D1188" s="129"/>
      <c r="E1188" s="129"/>
      <c r="F1188" s="129"/>
    </row>
    <row r="1189" spans="2:6" x14ac:dyDescent="0.2">
      <c r="B1189" s="129"/>
      <c r="C1189" s="129"/>
      <c r="D1189" s="129"/>
      <c r="E1189" s="129"/>
      <c r="F1189" s="129"/>
    </row>
    <row r="1190" spans="2:6" x14ac:dyDescent="0.2">
      <c r="B1190" s="129"/>
      <c r="C1190" s="129"/>
      <c r="D1190" s="129"/>
      <c r="E1190" s="129"/>
      <c r="F1190" s="129"/>
    </row>
    <row r="1191" spans="2:6" x14ac:dyDescent="0.2">
      <c r="B1191" s="129"/>
      <c r="C1191" s="129"/>
      <c r="D1191" s="129"/>
      <c r="E1191" s="129"/>
      <c r="F1191" s="129"/>
    </row>
    <row r="1192" spans="2:6" x14ac:dyDescent="0.2">
      <c r="B1192" s="129"/>
      <c r="C1192" s="129"/>
      <c r="D1192" s="129"/>
      <c r="E1192" s="129"/>
      <c r="F1192" s="129"/>
    </row>
    <row r="1193" spans="2:6" x14ac:dyDescent="0.2">
      <c r="B1193" s="129"/>
      <c r="C1193" s="129"/>
      <c r="D1193" s="129"/>
      <c r="E1193" s="129"/>
      <c r="F1193" s="129"/>
    </row>
    <row r="1194" spans="2:6" x14ac:dyDescent="0.2">
      <c r="B1194" s="129"/>
      <c r="C1194" s="129"/>
      <c r="D1194" s="129"/>
      <c r="E1194" s="129"/>
      <c r="F1194" s="129"/>
    </row>
    <row r="1195" spans="2:6" x14ac:dyDescent="0.2">
      <c r="B1195" s="129"/>
      <c r="C1195" s="129"/>
      <c r="D1195" s="129"/>
      <c r="E1195" s="129"/>
      <c r="F1195" s="129"/>
    </row>
    <row r="1196" spans="2:6" x14ac:dyDescent="0.2">
      <c r="B1196" s="129"/>
      <c r="C1196" s="129"/>
      <c r="D1196" s="129"/>
      <c r="E1196" s="129"/>
      <c r="F1196" s="129"/>
    </row>
    <row r="1197" spans="2:6" x14ac:dyDescent="0.2">
      <c r="B1197" s="129"/>
      <c r="C1197" s="129"/>
      <c r="D1197" s="129"/>
      <c r="E1197" s="129"/>
      <c r="F1197" s="129"/>
    </row>
    <row r="1198" spans="2:6" x14ac:dyDescent="0.2">
      <c r="B1198" s="129"/>
      <c r="C1198" s="129"/>
      <c r="D1198" s="129"/>
      <c r="E1198" s="129"/>
      <c r="F1198" s="129"/>
    </row>
    <row r="1199" spans="2:6" x14ac:dyDescent="0.2">
      <c r="B1199" s="129"/>
      <c r="C1199" s="129"/>
      <c r="D1199" s="129"/>
      <c r="E1199" s="129"/>
      <c r="F1199" s="129"/>
    </row>
    <row r="1200" spans="2:6" x14ac:dyDescent="0.2">
      <c r="B1200" s="129"/>
      <c r="C1200" s="129"/>
      <c r="D1200" s="129"/>
      <c r="E1200" s="129"/>
      <c r="F1200" s="129"/>
    </row>
    <row r="1201" spans="2:6" x14ac:dyDescent="0.2">
      <c r="B1201" s="129"/>
      <c r="C1201" s="129"/>
      <c r="D1201" s="129"/>
      <c r="E1201" s="129"/>
      <c r="F1201" s="129"/>
    </row>
    <row r="1202" spans="2:6" x14ac:dyDescent="0.2">
      <c r="B1202" s="129"/>
      <c r="C1202" s="129"/>
      <c r="D1202" s="129"/>
      <c r="E1202" s="129"/>
      <c r="F1202" s="129"/>
    </row>
    <row r="1203" spans="2:6" x14ac:dyDescent="0.2">
      <c r="B1203" s="129"/>
      <c r="C1203" s="129"/>
      <c r="D1203" s="129"/>
      <c r="E1203" s="129"/>
      <c r="F1203" s="129"/>
    </row>
    <row r="1204" spans="2:6" x14ac:dyDescent="0.2">
      <c r="B1204" s="129"/>
      <c r="C1204" s="129"/>
      <c r="D1204" s="129"/>
      <c r="E1204" s="129"/>
      <c r="F1204" s="129"/>
    </row>
    <row r="1205" spans="2:6" x14ac:dyDescent="0.2">
      <c r="B1205" s="129"/>
      <c r="C1205" s="129"/>
      <c r="D1205" s="129"/>
      <c r="E1205" s="129"/>
      <c r="F1205" s="129"/>
    </row>
    <row r="1206" spans="2:6" x14ac:dyDescent="0.2">
      <c r="B1206" s="129"/>
      <c r="C1206" s="129"/>
      <c r="D1206" s="129"/>
      <c r="E1206" s="129"/>
      <c r="F1206" s="129"/>
    </row>
    <row r="1207" spans="2:6" x14ac:dyDescent="0.2">
      <c r="B1207" s="129"/>
      <c r="C1207" s="129"/>
      <c r="D1207" s="129"/>
      <c r="E1207" s="129"/>
      <c r="F1207" s="129"/>
    </row>
    <row r="1208" spans="2:6" x14ac:dyDescent="0.2">
      <c r="B1208" s="129"/>
      <c r="C1208" s="129"/>
      <c r="D1208" s="129"/>
      <c r="E1208" s="129"/>
      <c r="F1208" s="129"/>
    </row>
    <row r="1209" spans="2:6" x14ac:dyDescent="0.2">
      <c r="B1209" s="129"/>
      <c r="C1209" s="129"/>
      <c r="D1209" s="129"/>
      <c r="E1209" s="129"/>
      <c r="F1209" s="129"/>
    </row>
    <row r="1210" spans="2:6" x14ac:dyDescent="0.2">
      <c r="B1210" s="129"/>
      <c r="C1210" s="129"/>
      <c r="D1210" s="129"/>
      <c r="E1210" s="129"/>
      <c r="F1210" s="129"/>
    </row>
    <row r="1211" spans="2:6" x14ac:dyDescent="0.2">
      <c r="B1211" s="129"/>
      <c r="C1211" s="129"/>
      <c r="D1211" s="129"/>
      <c r="E1211" s="129"/>
      <c r="F1211" s="129"/>
    </row>
    <row r="1212" spans="2:6" x14ac:dyDescent="0.2">
      <c r="B1212" s="129"/>
      <c r="C1212" s="129"/>
      <c r="D1212" s="129"/>
      <c r="E1212" s="129"/>
      <c r="F1212" s="129"/>
    </row>
    <row r="1213" spans="2:6" x14ac:dyDescent="0.2">
      <c r="B1213" s="129"/>
      <c r="C1213" s="129"/>
      <c r="D1213" s="129"/>
      <c r="E1213" s="129"/>
      <c r="F1213" s="129"/>
    </row>
    <row r="1214" spans="2:6" x14ac:dyDescent="0.2">
      <c r="B1214" s="129"/>
      <c r="C1214" s="129"/>
      <c r="D1214" s="129"/>
      <c r="E1214" s="129"/>
      <c r="F1214" s="129"/>
    </row>
    <row r="1215" spans="2:6" x14ac:dyDescent="0.2">
      <c r="B1215" s="129"/>
      <c r="C1215" s="129"/>
      <c r="D1215" s="129"/>
      <c r="E1215" s="129"/>
      <c r="F1215" s="129"/>
    </row>
    <row r="1216" spans="2:6" x14ac:dyDescent="0.2">
      <c r="B1216" s="129"/>
      <c r="C1216" s="129"/>
      <c r="D1216" s="129"/>
      <c r="E1216" s="129"/>
      <c r="F1216" s="129"/>
    </row>
    <row r="1217" spans="2:6" x14ac:dyDescent="0.2">
      <c r="B1217" s="129"/>
      <c r="C1217" s="129"/>
      <c r="D1217" s="129"/>
      <c r="E1217" s="129"/>
      <c r="F1217" s="129"/>
    </row>
    <row r="1218" spans="2:6" x14ac:dyDescent="0.2">
      <c r="B1218" s="129"/>
      <c r="C1218" s="129"/>
      <c r="D1218" s="129"/>
      <c r="E1218" s="129"/>
      <c r="F1218" s="129"/>
    </row>
    <row r="1219" spans="2:6" x14ac:dyDescent="0.2">
      <c r="B1219" s="129"/>
      <c r="C1219" s="129"/>
      <c r="D1219" s="129"/>
      <c r="E1219" s="129"/>
      <c r="F1219" s="129"/>
    </row>
    <row r="1220" spans="2:6" x14ac:dyDescent="0.2">
      <c r="B1220" s="129"/>
      <c r="C1220" s="129"/>
      <c r="D1220" s="129"/>
      <c r="E1220" s="129"/>
      <c r="F1220" s="129"/>
    </row>
    <row r="1221" spans="2:6" x14ac:dyDescent="0.2">
      <c r="B1221" s="129"/>
      <c r="C1221" s="129"/>
      <c r="D1221" s="129"/>
      <c r="E1221" s="129"/>
      <c r="F1221" s="129"/>
    </row>
    <row r="1222" spans="2:6" x14ac:dyDescent="0.2">
      <c r="B1222" s="129"/>
      <c r="C1222" s="129"/>
      <c r="D1222" s="129"/>
      <c r="E1222" s="129"/>
      <c r="F1222" s="129"/>
    </row>
    <row r="1223" spans="2:6" x14ac:dyDescent="0.2">
      <c r="B1223" s="129"/>
      <c r="C1223" s="129"/>
      <c r="D1223" s="129"/>
      <c r="E1223" s="129"/>
      <c r="F1223" s="129"/>
    </row>
    <row r="1224" spans="2:6" x14ac:dyDescent="0.2">
      <c r="B1224" s="129"/>
      <c r="C1224" s="129"/>
      <c r="D1224" s="129"/>
      <c r="E1224" s="129"/>
      <c r="F1224" s="129"/>
    </row>
    <row r="1225" spans="2:6" x14ac:dyDescent="0.2">
      <c r="B1225" s="129"/>
      <c r="C1225" s="129"/>
      <c r="D1225" s="129"/>
      <c r="E1225" s="129"/>
      <c r="F1225" s="129"/>
    </row>
    <row r="1226" spans="2:6" x14ac:dyDescent="0.2">
      <c r="B1226" s="129"/>
      <c r="C1226" s="129"/>
      <c r="D1226" s="129"/>
      <c r="E1226" s="129"/>
      <c r="F1226" s="129"/>
    </row>
    <row r="1227" spans="2:6" x14ac:dyDescent="0.2">
      <c r="B1227" s="129"/>
      <c r="C1227" s="129"/>
      <c r="D1227" s="129"/>
      <c r="E1227" s="129"/>
      <c r="F1227" s="129"/>
    </row>
    <row r="1228" spans="2:6" x14ac:dyDescent="0.2">
      <c r="B1228" s="129"/>
      <c r="C1228" s="129"/>
      <c r="D1228" s="129"/>
      <c r="E1228" s="129"/>
      <c r="F1228" s="129"/>
    </row>
    <row r="1229" spans="2:6" x14ac:dyDescent="0.2">
      <c r="B1229" s="129"/>
      <c r="C1229" s="129"/>
      <c r="D1229" s="129"/>
      <c r="E1229" s="129"/>
      <c r="F1229" s="129"/>
    </row>
    <row r="1230" spans="2:6" x14ac:dyDescent="0.2">
      <c r="B1230" s="129"/>
      <c r="C1230" s="129"/>
      <c r="D1230" s="129"/>
      <c r="E1230" s="129"/>
      <c r="F1230" s="129"/>
    </row>
    <row r="1231" spans="2:6" x14ac:dyDescent="0.2">
      <c r="B1231" s="129"/>
      <c r="C1231" s="129"/>
      <c r="D1231" s="129"/>
      <c r="E1231" s="129"/>
      <c r="F1231" s="129"/>
    </row>
    <row r="1232" spans="2:6" x14ac:dyDescent="0.2">
      <c r="B1232" s="129"/>
      <c r="C1232" s="129"/>
      <c r="D1232" s="129"/>
      <c r="E1232" s="129"/>
      <c r="F1232" s="129"/>
    </row>
    <row r="1233" spans="2:6" x14ac:dyDescent="0.2">
      <c r="B1233" s="129"/>
      <c r="C1233" s="129"/>
      <c r="D1233" s="129"/>
      <c r="E1233" s="129"/>
      <c r="F1233" s="129"/>
    </row>
    <row r="1234" spans="2:6" x14ac:dyDescent="0.2">
      <c r="B1234" s="129"/>
      <c r="C1234" s="129"/>
      <c r="D1234" s="129"/>
      <c r="E1234" s="129"/>
      <c r="F1234" s="129"/>
    </row>
    <row r="1235" spans="2:6" x14ac:dyDescent="0.2">
      <c r="B1235" s="129"/>
      <c r="C1235" s="129"/>
      <c r="D1235" s="129"/>
      <c r="E1235" s="129"/>
      <c r="F1235" s="129"/>
    </row>
    <row r="1236" spans="2:6" x14ac:dyDescent="0.2">
      <c r="B1236" s="129"/>
      <c r="C1236" s="129"/>
      <c r="D1236" s="129"/>
      <c r="E1236" s="129"/>
      <c r="F1236" s="129"/>
    </row>
    <row r="1237" spans="2:6" x14ac:dyDescent="0.2">
      <c r="B1237" s="129"/>
      <c r="C1237" s="129"/>
      <c r="D1237" s="129"/>
      <c r="E1237" s="129"/>
      <c r="F1237" s="129"/>
    </row>
    <row r="1238" spans="2:6" x14ac:dyDescent="0.2">
      <c r="B1238" s="129"/>
      <c r="C1238" s="129"/>
      <c r="D1238" s="129"/>
      <c r="E1238" s="129"/>
      <c r="F1238" s="129"/>
    </row>
    <row r="1239" spans="2:6" x14ac:dyDescent="0.2">
      <c r="B1239" s="129"/>
      <c r="C1239" s="129"/>
      <c r="D1239" s="129"/>
      <c r="E1239" s="129"/>
      <c r="F1239" s="129"/>
    </row>
    <row r="1240" spans="2:6" x14ac:dyDescent="0.2">
      <c r="B1240" s="129"/>
      <c r="C1240" s="129"/>
      <c r="D1240" s="129"/>
      <c r="E1240" s="129"/>
      <c r="F1240" s="129"/>
    </row>
    <row r="1241" spans="2:6" x14ac:dyDescent="0.2">
      <c r="B1241" s="129"/>
      <c r="C1241" s="129"/>
      <c r="D1241" s="129"/>
      <c r="E1241" s="129"/>
      <c r="F1241" s="129"/>
    </row>
    <row r="1242" spans="2:6" x14ac:dyDescent="0.2">
      <c r="B1242" s="129"/>
      <c r="C1242" s="129"/>
      <c r="D1242" s="129"/>
      <c r="E1242" s="129"/>
      <c r="F1242" s="129"/>
    </row>
    <row r="1243" spans="2:6" x14ac:dyDescent="0.2">
      <c r="B1243" s="129"/>
      <c r="C1243" s="129"/>
      <c r="D1243" s="129"/>
      <c r="E1243" s="129"/>
      <c r="F1243" s="129"/>
    </row>
    <row r="1244" spans="2:6" x14ac:dyDescent="0.2">
      <c r="B1244" s="129"/>
      <c r="C1244" s="129"/>
      <c r="D1244" s="129"/>
      <c r="E1244" s="129"/>
      <c r="F1244" s="129"/>
    </row>
    <row r="1245" spans="2:6" x14ac:dyDescent="0.2">
      <c r="B1245" s="129"/>
      <c r="C1245" s="129"/>
      <c r="D1245" s="129"/>
      <c r="E1245" s="129"/>
      <c r="F1245" s="129"/>
    </row>
    <row r="1246" spans="2:6" x14ac:dyDescent="0.2">
      <c r="B1246" s="129"/>
      <c r="C1246" s="129"/>
      <c r="D1246" s="129"/>
      <c r="E1246" s="129"/>
      <c r="F1246" s="129"/>
    </row>
    <row r="1247" spans="2:6" x14ac:dyDescent="0.2">
      <c r="B1247" s="129"/>
      <c r="C1247" s="129"/>
      <c r="D1247" s="129"/>
      <c r="E1247" s="129"/>
      <c r="F1247" s="129"/>
    </row>
    <row r="1248" spans="2:6" x14ac:dyDescent="0.2">
      <c r="B1248" s="129"/>
      <c r="C1248" s="129"/>
      <c r="D1248" s="129"/>
      <c r="E1248" s="129"/>
      <c r="F1248" s="129"/>
    </row>
    <row r="1249" spans="2:6" x14ac:dyDescent="0.2">
      <c r="B1249" s="129"/>
      <c r="C1249" s="129"/>
      <c r="D1249" s="129"/>
      <c r="E1249" s="129"/>
      <c r="F1249" s="129"/>
    </row>
    <row r="1250" spans="2:6" x14ac:dyDescent="0.2">
      <c r="B1250" s="129"/>
      <c r="C1250" s="129"/>
      <c r="D1250" s="129"/>
      <c r="E1250" s="129"/>
      <c r="F1250" s="129"/>
    </row>
    <row r="1251" spans="2:6" x14ac:dyDescent="0.2">
      <c r="B1251" s="129"/>
      <c r="C1251" s="129"/>
      <c r="D1251" s="129"/>
      <c r="E1251" s="129"/>
      <c r="F1251" s="129"/>
    </row>
    <row r="1252" spans="2:6" x14ac:dyDescent="0.2">
      <c r="B1252" s="129"/>
      <c r="C1252" s="129"/>
      <c r="D1252" s="129"/>
      <c r="E1252" s="129"/>
      <c r="F1252" s="129"/>
    </row>
    <row r="1253" spans="2:6" x14ac:dyDescent="0.2">
      <c r="B1253" s="129"/>
      <c r="C1253" s="129"/>
      <c r="D1253" s="129"/>
      <c r="E1253" s="129"/>
      <c r="F1253" s="129"/>
    </row>
    <row r="1254" spans="2:6" x14ac:dyDescent="0.2">
      <c r="B1254" s="129"/>
      <c r="C1254" s="129"/>
      <c r="D1254" s="129"/>
      <c r="E1254" s="129"/>
      <c r="F1254" s="129"/>
    </row>
    <row r="1255" spans="2:6" x14ac:dyDescent="0.2">
      <c r="B1255" s="129"/>
      <c r="C1255" s="129"/>
      <c r="D1255" s="129"/>
      <c r="E1255" s="129"/>
      <c r="F1255" s="129"/>
    </row>
    <row r="1256" spans="2:6" x14ac:dyDescent="0.2">
      <c r="B1256" s="129"/>
      <c r="C1256" s="129"/>
      <c r="D1256" s="129"/>
      <c r="E1256" s="129"/>
      <c r="F1256" s="129"/>
    </row>
    <row r="1257" spans="2:6" x14ac:dyDescent="0.2">
      <c r="B1257" s="129"/>
      <c r="C1257" s="129"/>
      <c r="D1257" s="129"/>
      <c r="E1257" s="129"/>
      <c r="F1257" s="129"/>
    </row>
    <row r="1258" spans="2:6" x14ac:dyDescent="0.2">
      <c r="B1258" s="129"/>
      <c r="C1258" s="129"/>
      <c r="D1258" s="129"/>
      <c r="E1258" s="129"/>
      <c r="F1258" s="129"/>
    </row>
    <row r="1259" spans="2:6" x14ac:dyDescent="0.2">
      <c r="B1259" s="129"/>
      <c r="C1259" s="129"/>
      <c r="D1259" s="129"/>
      <c r="E1259" s="129"/>
      <c r="F1259" s="129"/>
    </row>
    <row r="1260" spans="2:6" x14ac:dyDescent="0.2">
      <c r="B1260" s="129"/>
      <c r="C1260" s="129"/>
      <c r="D1260" s="129"/>
      <c r="E1260" s="129"/>
      <c r="F1260" s="129"/>
    </row>
    <row r="1261" spans="2:6" x14ac:dyDescent="0.2">
      <c r="B1261" s="129"/>
      <c r="C1261" s="129"/>
      <c r="D1261" s="129"/>
      <c r="E1261" s="129"/>
      <c r="F1261" s="129"/>
    </row>
    <row r="1262" spans="2:6" x14ac:dyDescent="0.2">
      <c r="B1262" s="129"/>
      <c r="C1262" s="129"/>
      <c r="D1262" s="129"/>
      <c r="E1262" s="129"/>
      <c r="F1262" s="129"/>
    </row>
    <row r="1263" spans="2:6" x14ac:dyDescent="0.2">
      <c r="B1263" s="129"/>
      <c r="C1263" s="129"/>
      <c r="D1263" s="129"/>
      <c r="E1263" s="129"/>
      <c r="F1263" s="129"/>
    </row>
    <row r="1264" spans="2:6" x14ac:dyDescent="0.2">
      <c r="B1264" s="129"/>
      <c r="C1264" s="129"/>
      <c r="D1264" s="129"/>
      <c r="E1264" s="129"/>
      <c r="F1264" s="129"/>
    </row>
    <row r="1265" spans="2:6" x14ac:dyDescent="0.2">
      <c r="B1265" s="129"/>
      <c r="C1265" s="129"/>
      <c r="D1265" s="129"/>
      <c r="E1265" s="129"/>
      <c r="F1265" s="129"/>
    </row>
    <row r="1266" spans="2:6" x14ac:dyDescent="0.2">
      <c r="B1266" s="129"/>
      <c r="C1266" s="129"/>
      <c r="D1266" s="129"/>
      <c r="E1266" s="129"/>
      <c r="F1266" s="129"/>
    </row>
    <row r="1267" spans="2:6" x14ac:dyDescent="0.2">
      <c r="B1267" s="129"/>
      <c r="C1267" s="129"/>
      <c r="D1267" s="129"/>
      <c r="E1267" s="129"/>
      <c r="F1267" s="129"/>
    </row>
    <row r="1268" spans="2:6" x14ac:dyDescent="0.2">
      <c r="B1268" s="129"/>
      <c r="C1268" s="129"/>
      <c r="D1268" s="129"/>
      <c r="E1268" s="129"/>
      <c r="F1268" s="129"/>
    </row>
    <row r="1269" spans="2:6" x14ac:dyDescent="0.2">
      <c r="B1269" s="129"/>
      <c r="C1269" s="129"/>
      <c r="D1269" s="129"/>
      <c r="E1269" s="129"/>
      <c r="F1269" s="129"/>
    </row>
    <row r="1270" spans="2:6" x14ac:dyDescent="0.2">
      <c r="B1270" s="129"/>
      <c r="C1270" s="129"/>
      <c r="D1270" s="129"/>
      <c r="E1270" s="129"/>
      <c r="F1270" s="129"/>
    </row>
    <row r="1271" spans="2:6" x14ac:dyDescent="0.2">
      <c r="B1271" s="129"/>
      <c r="C1271" s="129"/>
      <c r="D1271" s="129"/>
      <c r="E1271" s="129"/>
      <c r="F1271" s="129"/>
    </row>
    <row r="1272" spans="2:6" x14ac:dyDescent="0.2">
      <c r="B1272" s="129"/>
      <c r="C1272" s="129"/>
      <c r="D1272" s="129"/>
      <c r="E1272" s="129"/>
      <c r="F1272" s="129"/>
    </row>
    <row r="1273" spans="2:6" x14ac:dyDescent="0.2">
      <c r="B1273" s="129"/>
      <c r="C1273" s="129"/>
      <c r="D1273" s="129"/>
      <c r="E1273" s="129"/>
      <c r="F1273" s="129"/>
    </row>
    <row r="1274" spans="2:6" x14ac:dyDescent="0.2">
      <c r="B1274" s="129"/>
      <c r="C1274" s="129"/>
      <c r="D1274" s="129"/>
      <c r="E1274" s="129"/>
      <c r="F1274" s="129"/>
    </row>
    <row r="1275" spans="2:6" x14ac:dyDescent="0.2">
      <c r="B1275" s="129"/>
      <c r="C1275" s="129"/>
      <c r="D1275" s="129"/>
      <c r="E1275" s="129"/>
      <c r="F1275" s="129"/>
    </row>
    <row r="1276" spans="2:6" x14ac:dyDescent="0.2">
      <c r="B1276" s="129"/>
      <c r="C1276" s="129"/>
      <c r="D1276" s="129"/>
      <c r="E1276" s="129"/>
      <c r="F1276" s="129"/>
    </row>
    <row r="1277" spans="2:6" x14ac:dyDescent="0.2">
      <c r="B1277" s="129"/>
      <c r="C1277" s="129"/>
      <c r="D1277" s="129"/>
      <c r="E1277" s="129"/>
      <c r="F1277" s="129"/>
    </row>
    <row r="1278" spans="2:6" x14ac:dyDescent="0.2">
      <c r="B1278" s="129"/>
      <c r="C1278" s="129"/>
      <c r="D1278" s="129"/>
      <c r="E1278" s="129"/>
      <c r="F1278" s="129"/>
    </row>
    <row r="1279" spans="2:6" x14ac:dyDescent="0.2">
      <c r="B1279" s="129"/>
      <c r="C1279" s="129"/>
      <c r="D1279" s="129"/>
      <c r="E1279" s="129"/>
      <c r="F1279" s="129"/>
    </row>
    <row r="1280" spans="2:6" x14ac:dyDescent="0.2">
      <c r="B1280" s="129"/>
      <c r="C1280" s="129"/>
      <c r="D1280" s="129"/>
      <c r="E1280" s="129"/>
      <c r="F1280" s="129"/>
    </row>
    <row r="1281" spans="2:6" x14ac:dyDescent="0.2">
      <c r="B1281" s="129"/>
      <c r="C1281" s="129"/>
      <c r="D1281" s="129"/>
      <c r="E1281" s="129"/>
      <c r="F1281" s="129"/>
    </row>
    <row r="1282" spans="2:6" x14ac:dyDescent="0.2">
      <c r="B1282" s="129"/>
      <c r="C1282" s="129"/>
      <c r="D1282" s="129"/>
      <c r="E1282" s="129"/>
      <c r="F1282" s="129"/>
    </row>
    <row r="1283" spans="2:6" x14ac:dyDescent="0.2">
      <c r="B1283" s="129"/>
      <c r="C1283" s="129"/>
      <c r="D1283" s="129"/>
      <c r="E1283" s="129"/>
      <c r="F1283" s="129"/>
    </row>
    <row r="1284" spans="2:6" x14ac:dyDescent="0.2">
      <c r="B1284" s="129"/>
      <c r="C1284" s="129"/>
      <c r="D1284" s="129"/>
      <c r="E1284" s="129"/>
      <c r="F1284" s="129"/>
    </row>
    <row r="1285" spans="2:6" x14ac:dyDescent="0.2">
      <c r="B1285" s="129"/>
      <c r="C1285" s="129"/>
      <c r="D1285" s="129"/>
      <c r="E1285" s="129"/>
      <c r="F1285" s="129"/>
    </row>
    <row r="1286" spans="2:6" x14ac:dyDescent="0.2">
      <c r="B1286" s="129"/>
      <c r="C1286" s="129"/>
      <c r="D1286" s="129"/>
      <c r="E1286" s="129"/>
      <c r="F1286" s="129"/>
    </row>
    <row r="1287" spans="2:6" x14ac:dyDescent="0.2">
      <c r="B1287" s="129"/>
      <c r="C1287" s="129"/>
      <c r="D1287" s="129"/>
      <c r="E1287" s="129"/>
      <c r="F1287" s="129"/>
    </row>
    <row r="1288" spans="2:6" x14ac:dyDescent="0.2">
      <c r="B1288" s="129"/>
      <c r="C1288" s="129"/>
      <c r="D1288" s="129"/>
      <c r="E1288" s="129"/>
      <c r="F1288" s="129"/>
    </row>
    <row r="1289" spans="2:6" x14ac:dyDescent="0.2">
      <c r="B1289" s="129"/>
      <c r="C1289" s="129"/>
      <c r="D1289" s="129"/>
      <c r="E1289" s="129"/>
      <c r="F1289" s="129"/>
    </row>
    <row r="1290" spans="2:6" x14ac:dyDescent="0.2">
      <c r="B1290" s="129"/>
      <c r="C1290" s="129"/>
      <c r="D1290" s="129"/>
      <c r="E1290" s="129"/>
      <c r="F1290" s="129"/>
    </row>
    <row r="1291" spans="2:6" x14ac:dyDescent="0.2">
      <c r="B1291" s="129"/>
      <c r="C1291" s="129"/>
      <c r="D1291" s="129"/>
      <c r="E1291" s="129"/>
      <c r="F1291" s="129"/>
    </row>
    <row r="1292" spans="2:6" x14ac:dyDescent="0.2">
      <c r="B1292" s="129"/>
      <c r="C1292" s="129"/>
      <c r="D1292" s="129"/>
      <c r="E1292" s="129"/>
      <c r="F1292" s="129"/>
    </row>
    <row r="1293" spans="2:6" x14ac:dyDescent="0.2">
      <c r="B1293" s="129"/>
      <c r="C1293" s="129"/>
      <c r="D1293" s="129"/>
      <c r="E1293" s="129"/>
      <c r="F1293" s="129"/>
    </row>
    <row r="1294" spans="2:6" x14ac:dyDescent="0.2">
      <c r="B1294" s="129"/>
      <c r="C1294" s="129"/>
      <c r="D1294" s="129"/>
      <c r="E1294" s="129"/>
      <c r="F1294" s="129"/>
    </row>
    <row r="1295" spans="2:6" x14ac:dyDescent="0.2">
      <c r="B1295" s="129"/>
      <c r="C1295" s="129"/>
      <c r="D1295" s="129"/>
      <c r="E1295" s="129"/>
      <c r="F1295" s="129"/>
    </row>
    <row r="1296" spans="2:6" x14ac:dyDescent="0.2">
      <c r="B1296" s="129"/>
      <c r="C1296" s="129"/>
      <c r="D1296" s="129"/>
      <c r="E1296" s="129"/>
      <c r="F1296" s="129"/>
    </row>
    <row r="1297" spans="2:6" x14ac:dyDescent="0.2">
      <c r="B1297" s="129"/>
      <c r="C1297" s="129"/>
      <c r="D1297" s="129"/>
      <c r="E1297" s="129"/>
      <c r="F1297" s="129"/>
    </row>
    <row r="1298" spans="2:6" x14ac:dyDescent="0.2">
      <c r="B1298" s="129"/>
      <c r="C1298" s="129"/>
      <c r="D1298" s="129"/>
      <c r="E1298" s="129"/>
      <c r="F1298" s="129"/>
    </row>
    <row r="1299" spans="2:6" x14ac:dyDescent="0.2">
      <c r="B1299" s="129"/>
      <c r="C1299" s="129"/>
      <c r="D1299" s="129"/>
      <c r="E1299" s="129"/>
      <c r="F1299" s="129"/>
    </row>
    <row r="1300" spans="2:6" x14ac:dyDescent="0.2">
      <c r="B1300" s="129"/>
      <c r="C1300" s="129"/>
      <c r="D1300" s="129"/>
      <c r="E1300" s="129"/>
      <c r="F1300" s="129"/>
    </row>
    <row r="1301" spans="2:6" x14ac:dyDescent="0.2">
      <c r="B1301" s="129"/>
      <c r="C1301" s="129"/>
      <c r="D1301" s="129"/>
      <c r="E1301" s="129"/>
      <c r="F1301" s="129"/>
    </row>
    <row r="1302" spans="2:6" x14ac:dyDescent="0.2">
      <c r="B1302" s="129"/>
      <c r="C1302" s="129"/>
      <c r="D1302" s="129"/>
      <c r="E1302" s="129"/>
      <c r="F1302" s="129"/>
    </row>
    <row r="1303" spans="2:6" x14ac:dyDescent="0.2">
      <c r="B1303" s="129"/>
      <c r="C1303" s="129"/>
      <c r="D1303" s="129"/>
      <c r="E1303" s="129"/>
      <c r="F1303" s="129"/>
    </row>
    <row r="1304" spans="2:6" x14ac:dyDescent="0.2">
      <c r="B1304" s="129"/>
      <c r="C1304" s="129"/>
      <c r="D1304" s="129"/>
      <c r="E1304" s="129"/>
      <c r="F1304" s="129"/>
    </row>
    <row r="1305" spans="2:6" x14ac:dyDescent="0.2">
      <c r="B1305" s="129"/>
      <c r="C1305" s="129"/>
      <c r="D1305" s="129"/>
      <c r="E1305" s="129"/>
      <c r="F1305" s="129"/>
    </row>
    <row r="1306" spans="2:6" x14ac:dyDescent="0.2">
      <c r="B1306" s="129"/>
      <c r="C1306" s="129"/>
      <c r="D1306" s="129"/>
      <c r="E1306" s="129"/>
      <c r="F1306" s="129"/>
    </row>
    <row r="1307" spans="2:6" x14ac:dyDescent="0.2">
      <c r="B1307" s="129"/>
      <c r="C1307" s="129"/>
      <c r="D1307" s="129"/>
      <c r="E1307" s="129"/>
      <c r="F1307" s="129"/>
    </row>
    <row r="1308" spans="2:6" x14ac:dyDescent="0.2">
      <c r="B1308" s="129"/>
      <c r="C1308" s="129"/>
      <c r="D1308" s="129"/>
      <c r="E1308" s="129"/>
      <c r="F1308" s="129"/>
    </row>
    <row r="1309" spans="2:6" x14ac:dyDescent="0.2">
      <c r="B1309" s="129"/>
      <c r="C1309" s="129"/>
      <c r="D1309" s="129"/>
      <c r="E1309" s="129"/>
      <c r="F1309" s="129"/>
    </row>
    <row r="1310" spans="2:6" x14ac:dyDescent="0.2">
      <c r="B1310" s="129"/>
      <c r="C1310" s="129"/>
      <c r="D1310" s="129"/>
      <c r="E1310" s="129"/>
      <c r="F1310" s="129"/>
    </row>
    <row r="1311" spans="2:6" x14ac:dyDescent="0.2">
      <c r="B1311" s="129"/>
      <c r="C1311" s="129"/>
      <c r="D1311" s="129"/>
      <c r="E1311" s="129"/>
      <c r="F1311" s="129"/>
    </row>
    <row r="1312" spans="2:6" x14ac:dyDescent="0.2">
      <c r="B1312" s="129"/>
      <c r="C1312" s="129"/>
      <c r="D1312" s="129"/>
      <c r="E1312" s="129"/>
      <c r="F1312" s="129"/>
    </row>
    <row r="1313" spans="2:6" x14ac:dyDescent="0.2">
      <c r="B1313" s="129"/>
      <c r="C1313" s="129"/>
      <c r="D1313" s="129"/>
      <c r="E1313" s="129"/>
      <c r="F1313" s="129"/>
    </row>
    <row r="1314" spans="2:6" x14ac:dyDescent="0.2">
      <c r="B1314" s="129"/>
      <c r="C1314" s="129"/>
      <c r="D1314" s="129"/>
      <c r="E1314" s="129"/>
      <c r="F1314" s="129"/>
    </row>
    <row r="1315" spans="2:6" x14ac:dyDescent="0.2">
      <c r="B1315" s="129"/>
      <c r="C1315" s="129"/>
      <c r="D1315" s="129"/>
      <c r="E1315" s="129"/>
      <c r="F1315" s="129"/>
    </row>
    <row r="1316" spans="2:6" x14ac:dyDescent="0.2">
      <c r="B1316" s="129"/>
      <c r="C1316" s="129"/>
      <c r="D1316" s="129"/>
      <c r="E1316" s="129"/>
      <c r="F1316" s="129"/>
    </row>
    <row r="1317" spans="2:6" x14ac:dyDescent="0.2">
      <c r="B1317" s="129"/>
      <c r="C1317" s="129"/>
      <c r="D1317" s="129"/>
      <c r="E1317" s="129"/>
      <c r="F1317" s="129"/>
    </row>
    <row r="1318" spans="2:6" x14ac:dyDescent="0.2">
      <c r="B1318" s="129"/>
      <c r="C1318" s="129"/>
      <c r="D1318" s="129"/>
      <c r="E1318" s="129"/>
      <c r="F1318" s="129"/>
    </row>
    <row r="1319" spans="2:6" x14ac:dyDescent="0.2">
      <c r="B1319" s="129"/>
      <c r="C1319" s="129"/>
      <c r="D1319" s="129"/>
      <c r="E1319" s="129"/>
      <c r="F1319" s="129"/>
    </row>
    <row r="1320" spans="2:6" x14ac:dyDescent="0.2">
      <c r="B1320" s="129"/>
      <c r="C1320" s="129"/>
      <c r="D1320" s="129"/>
      <c r="E1320" s="129"/>
      <c r="F1320" s="129"/>
    </row>
    <row r="1321" spans="2:6" x14ac:dyDescent="0.2">
      <c r="B1321" s="129"/>
      <c r="C1321" s="129"/>
      <c r="D1321" s="129"/>
      <c r="E1321" s="129"/>
      <c r="F1321" s="129"/>
    </row>
    <row r="1322" spans="2:6" x14ac:dyDescent="0.2">
      <c r="B1322" s="129"/>
      <c r="C1322" s="129"/>
      <c r="D1322" s="129"/>
      <c r="E1322" s="129"/>
      <c r="F1322" s="129"/>
    </row>
    <row r="1323" spans="2:6" x14ac:dyDescent="0.2">
      <c r="B1323" s="129"/>
      <c r="C1323" s="129"/>
      <c r="D1323" s="129"/>
      <c r="E1323" s="129"/>
      <c r="F1323" s="129"/>
    </row>
    <row r="1324" spans="2:6" x14ac:dyDescent="0.2">
      <c r="B1324" s="129"/>
      <c r="C1324" s="129"/>
      <c r="D1324" s="129"/>
      <c r="E1324" s="129"/>
      <c r="F1324" s="129"/>
    </row>
    <row r="1325" spans="2:6" x14ac:dyDescent="0.2">
      <c r="B1325" s="129"/>
      <c r="C1325" s="129"/>
      <c r="D1325" s="129"/>
      <c r="E1325" s="129"/>
      <c r="F1325" s="129"/>
    </row>
    <row r="1326" spans="2:6" x14ac:dyDescent="0.2">
      <c r="B1326" s="129"/>
      <c r="C1326" s="129"/>
      <c r="D1326" s="129"/>
      <c r="E1326" s="129"/>
      <c r="F1326" s="129"/>
    </row>
    <row r="1327" spans="2:6" x14ac:dyDescent="0.2">
      <c r="B1327" s="129"/>
      <c r="C1327" s="129"/>
      <c r="D1327" s="129"/>
      <c r="E1327" s="129"/>
      <c r="F1327" s="129"/>
    </row>
    <row r="1328" spans="2:6" x14ac:dyDescent="0.2">
      <c r="B1328" s="129"/>
      <c r="C1328" s="129"/>
      <c r="D1328" s="129"/>
      <c r="E1328" s="129"/>
      <c r="F1328" s="129"/>
    </row>
    <row r="1329" spans="2:6" x14ac:dyDescent="0.2">
      <c r="B1329" s="129"/>
      <c r="C1329" s="129"/>
      <c r="D1329" s="129"/>
      <c r="E1329" s="129"/>
      <c r="F1329" s="129"/>
    </row>
    <row r="1330" spans="2:6" x14ac:dyDescent="0.2">
      <c r="B1330" s="129"/>
      <c r="C1330" s="129"/>
      <c r="D1330" s="129"/>
      <c r="E1330" s="129"/>
      <c r="F1330" s="129"/>
    </row>
    <row r="1331" spans="2:6" x14ac:dyDescent="0.2">
      <c r="B1331" s="129"/>
      <c r="C1331" s="129"/>
      <c r="D1331" s="129"/>
      <c r="E1331" s="129"/>
      <c r="F1331" s="129"/>
    </row>
    <row r="1332" spans="2:6" x14ac:dyDescent="0.2">
      <c r="B1332" s="129"/>
      <c r="C1332" s="129"/>
      <c r="D1332" s="129"/>
      <c r="E1332" s="129"/>
      <c r="F1332" s="129"/>
    </row>
    <row r="1333" spans="2:6" x14ac:dyDescent="0.2">
      <c r="B1333" s="129"/>
      <c r="C1333" s="129"/>
      <c r="D1333" s="129"/>
      <c r="E1333" s="129"/>
      <c r="F1333" s="129"/>
    </row>
    <row r="1334" spans="2:6" x14ac:dyDescent="0.2">
      <c r="B1334" s="129"/>
      <c r="C1334" s="129"/>
      <c r="D1334" s="129"/>
      <c r="E1334" s="129"/>
      <c r="F1334" s="129"/>
    </row>
    <row r="1335" spans="2:6" x14ac:dyDescent="0.2">
      <c r="B1335" s="129"/>
      <c r="C1335" s="129"/>
      <c r="D1335" s="129"/>
      <c r="E1335" s="129"/>
      <c r="F1335" s="129"/>
    </row>
    <row r="1336" spans="2:6" x14ac:dyDescent="0.2">
      <c r="B1336" s="129"/>
      <c r="C1336" s="129"/>
      <c r="D1336" s="129"/>
      <c r="E1336" s="129"/>
      <c r="F1336" s="129"/>
    </row>
    <row r="1337" spans="2:6" x14ac:dyDescent="0.2">
      <c r="B1337" s="129"/>
      <c r="C1337" s="129"/>
      <c r="D1337" s="129"/>
      <c r="E1337" s="129"/>
      <c r="F1337" s="129"/>
    </row>
    <row r="1338" spans="2:6" x14ac:dyDescent="0.2">
      <c r="B1338" s="129"/>
      <c r="C1338" s="129"/>
      <c r="D1338" s="129"/>
      <c r="E1338" s="129"/>
      <c r="F1338" s="129"/>
    </row>
    <row r="1339" spans="2:6" x14ac:dyDescent="0.2">
      <c r="B1339" s="129"/>
      <c r="C1339" s="129"/>
      <c r="D1339" s="129"/>
      <c r="E1339" s="129"/>
      <c r="F1339" s="129"/>
    </row>
    <row r="1340" spans="2:6" x14ac:dyDescent="0.2">
      <c r="B1340" s="129"/>
      <c r="C1340" s="129"/>
      <c r="D1340" s="129"/>
      <c r="E1340" s="129"/>
      <c r="F1340" s="129"/>
    </row>
    <row r="1341" spans="2:6" x14ac:dyDescent="0.2">
      <c r="B1341" s="129"/>
      <c r="C1341" s="129"/>
      <c r="D1341" s="129"/>
      <c r="E1341" s="129"/>
      <c r="F1341" s="129"/>
    </row>
    <row r="1342" spans="2:6" x14ac:dyDescent="0.2">
      <c r="B1342" s="129"/>
      <c r="C1342" s="129"/>
      <c r="D1342" s="129"/>
      <c r="E1342" s="129"/>
      <c r="F1342" s="129"/>
    </row>
    <row r="1343" spans="2:6" x14ac:dyDescent="0.2">
      <c r="B1343" s="129"/>
      <c r="C1343" s="129"/>
      <c r="D1343" s="129"/>
      <c r="E1343" s="129"/>
      <c r="F1343" s="129"/>
    </row>
    <row r="1344" spans="2:6" x14ac:dyDescent="0.2">
      <c r="B1344" s="129"/>
      <c r="C1344" s="129"/>
      <c r="D1344" s="129"/>
      <c r="E1344" s="129"/>
      <c r="F1344" s="129"/>
    </row>
    <row r="1345" spans="2:6" x14ac:dyDescent="0.2">
      <c r="B1345" s="129"/>
      <c r="C1345" s="129"/>
      <c r="D1345" s="129"/>
      <c r="E1345" s="129"/>
      <c r="F1345" s="129"/>
    </row>
    <row r="1346" spans="2:6" x14ac:dyDescent="0.2">
      <c r="B1346" s="129"/>
      <c r="C1346" s="129"/>
      <c r="D1346" s="129"/>
      <c r="E1346" s="129"/>
      <c r="F1346" s="129"/>
    </row>
    <row r="1347" spans="2:6" x14ac:dyDescent="0.2">
      <c r="B1347" s="129"/>
      <c r="C1347" s="129"/>
      <c r="D1347" s="129"/>
      <c r="E1347" s="129"/>
      <c r="F1347" s="129"/>
    </row>
    <row r="1348" spans="2:6" x14ac:dyDescent="0.2">
      <c r="B1348" s="129"/>
      <c r="C1348" s="129"/>
      <c r="D1348" s="129"/>
      <c r="E1348" s="129"/>
      <c r="F1348" s="129"/>
    </row>
    <row r="1349" spans="2:6" x14ac:dyDescent="0.2">
      <c r="B1349" s="129"/>
      <c r="C1349" s="129"/>
      <c r="D1349" s="129"/>
      <c r="E1349" s="129"/>
      <c r="F1349" s="129"/>
    </row>
    <row r="1350" spans="2:6" x14ac:dyDescent="0.2">
      <c r="B1350" s="129"/>
      <c r="C1350" s="129"/>
      <c r="D1350" s="129"/>
      <c r="E1350" s="129"/>
      <c r="F1350" s="129"/>
    </row>
    <row r="1351" spans="2:6" x14ac:dyDescent="0.2">
      <c r="B1351" s="129"/>
      <c r="C1351" s="129"/>
      <c r="D1351" s="129"/>
      <c r="E1351" s="129"/>
      <c r="F1351" s="129"/>
    </row>
    <row r="1352" spans="2:6" x14ac:dyDescent="0.2">
      <c r="B1352" s="129"/>
      <c r="C1352" s="129"/>
      <c r="D1352" s="129"/>
      <c r="E1352" s="129"/>
      <c r="F1352" s="129"/>
    </row>
    <row r="1353" spans="2:6" x14ac:dyDescent="0.2">
      <c r="B1353" s="129"/>
      <c r="C1353" s="129"/>
      <c r="D1353" s="129"/>
      <c r="E1353" s="129"/>
      <c r="F1353" s="129"/>
    </row>
    <row r="1354" spans="2:6" x14ac:dyDescent="0.2">
      <c r="B1354" s="129"/>
      <c r="C1354" s="129"/>
      <c r="D1354" s="129"/>
      <c r="E1354" s="129"/>
      <c r="F1354" s="129"/>
    </row>
    <row r="1355" spans="2:6" x14ac:dyDescent="0.2">
      <c r="B1355" s="129"/>
      <c r="C1355" s="129"/>
      <c r="D1355" s="129"/>
      <c r="E1355" s="129"/>
      <c r="F1355" s="129"/>
    </row>
    <row r="1356" spans="2:6" x14ac:dyDescent="0.2">
      <c r="B1356" s="129"/>
      <c r="C1356" s="129"/>
      <c r="D1356" s="129"/>
      <c r="E1356" s="129"/>
      <c r="F1356" s="129"/>
    </row>
    <row r="1357" spans="2:6" x14ac:dyDescent="0.2">
      <c r="B1357" s="129"/>
      <c r="C1357" s="129"/>
      <c r="D1357" s="129"/>
      <c r="E1357" s="129"/>
      <c r="F1357" s="129"/>
    </row>
    <row r="1358" spans="2:6" x14ac:dyDescent="0.2">
      <c r="B1358" s="129"/>
      <c r="C1358" s="129"/>
      <c r="D1358" s="129"/>
      <c r="E1358" s="129"/>
      <c r="F1358" s="129"/>
    </row>
    <row r="1359" spans="2:6" x14ac:dyDescent="0.2">
      <c r="B1359" s="129"/>
      <c r="C1359" s="129"/>
      <c r="D1359" s="129"/>
      <c r="E1359" s="129"/>
      <c r="F1359" s="129"/>
    </row>
    <row r="1360" spans="2:6" x14ac:dyDescent="0.2">
      <c r="B1360" s="129"/>
      <c r="C1360" s="129"/>
      <c r="D1360" s="129"/>
      <c r="E1360" s="129"/>
      <c r="F1360" s="129"/>
    </row>
    <row r="1361" spans="2:6" x14ac:dyDescent="0.2">
      <c r="B1361" s="129"/>
      <c r="C1361" s="129"/>
      <c r="D1361" s="129"/>
      <c r="E1361" s="129"/>
      <c r="F1361" s="129"/>
    </row>
    <row r="1362" spans="2:6" x14ac:dyDescent="0.2">
      <c r="B1362" s="129"/>
      <c r="C1362" s="129"/>
      <c r="D1362" s="129"/>
      <c r="E1362" s="129"/>
      <c r="F1362" s="129"/>
    </row>
    <row r="1363" spans="2:6" x14ac:dyDescent="0.2">
      <c r="B1363" s="129"/>
      <c r="C1363" s="129"/>
      <c r="D1363" s="129"/>
      <c r="E1363" s="129"/>
      <c r="F1363" s="129"/>
    </row>
    <row r="1364" spans="2:6" x14ac:dyDescent="0.2">
      <c r="B1364" s="129"/>
      <c r="C1364" s="129"/>
      <c r="D1364" s="129"/>
      <c r="E1364" s="129"/>
      <c r="F1364" s="129"/>
    </row>
    <row r="1365" spans="2:6" x14ac:dyDescent="0.2">
      <c r="B1365" s="129"/>
      <c r="C1365" s="129"/>
      <c r="D1365" s="129"/>
      <c r="E1365" s="129"/>
      <c r="F1365" s="129"/>
    </row>
    <row r="1366" spans="2:6" x14ac:dyDescent="0.2">
      <c r="B1366" s="129"/>
      <c r="C1366" s="129"/>
      <c r="D1366" s="129"/>
      <c r="E1366" s="129"/>
      <c r="F1366" s="129"/>
    </row>
    <row r="1367" spans="2:6" x14ac:dyDescent="0.2">
      <c r="B1367" s="129"/>
      <c r="C1367" s="129"/>
      <c r="D1367" s="129"/>
      <c r="E1367" s="129"/>
      <c r="F1367" s="129"/>
    </row>
    <row r="1368" spans="2:6" x14ac:dyDescent="0.2">
      <c r="B1368" s="129"/>
      <c r="C1368" s="129"/>
      <c r="D1368" s="129"/>
      <c r="E1368" s="129"/>
      <c r="F1368" s="129"/>
    </row>
    <row r="1369" spans="2:6" x14ac:dyDescent="0.2">
      <c r="B1369" s="129"/>
      <c r="C1369" s="129"/>
      <c r="D1369" s="129"/>
      <c r="E1369" s="129"/>
      <c r="F1369" s="129"/>
    </row>
    <row r="1370" spans="2:6" x14ac:dyDescent="0.2">
      <c r="B1370" s="129"/>
      <c r="C1370" s="129"/>
      <c r="D1370" s="129"/>
      <c r="E1370" s="129"/>
      <c r="F1370" s="129"/>
    </row>
    <row r="1371" spans="2:6" x14ac:dyDescent="0.2">
      <c r="B1371" s="129"/>
      <c r="C1371" s="129"/>
      <c r="D1371" s="129"/>
      <c r="E1371" s="129"/>
      <c r="F1371" s="129"/>
    </row>
    <row r="1372" spans="2:6" x14ac:dyDescent="0.2">
      <c r="B1372" s="129"/>
      <c r="C1372" s="129"/>
      <c r="D1372" s="129"/>
      <c r="E1372" s="129"/>
      <c r="F1372" s="129"/>
    </row>
    <row r="1373" spans="2:6" x14ac:dyDescent="0.2">
      <c r="B1373" s="129"/>
      <c r="C1373" s="129"/>
      <c r="D1373" s="129"/>
      <c r="E1373" s="129"/>
      <c r="F1373" s="129"/>
    </row>
    <row r="1374" spans="2:6" x14ac:dyDescent="0.2">
      <c r="B1374" s="129"/>
      <c r="C1374" s="129"/>
      <c r="D1374" s="129"/>
      <c r="E1374" s="129"/>
      <c r="F1374" s="129"/>
    </row>
    <row r="1375" spans="2:6" x14ac:dyDescent="0.2">
      <c r="B1375" s="129"/>
      <c r="C1375" s="129"/>
      <c r="D1375" s="129"/>
      <c r="E1375" s="129"/>
      <c r="F1375" s="129"/>
    </row>
    <row r="1376" spans="2:6" x14ac:dyDescent="0.2">
      <c r="B1376" s="129"/>
      <c r="C1376" s="129"/>
      <c r="D1376" s="129"/>
      <c r="E1376" s="129"/>
      <c r="F1376" s="129"/>
    </row>
    <row r="1377" spans="2:6" x14ac:dyDescent="0.2">
      <c r="B1377" s="129"/>
      <c r="C1377" s="129"/>
      <c r="D1377" s="129"/>
      <c r="E1377" s="129"/>
      <c r="F1377" s="129"/>
    </row>
    <row r="1378" spans="2:6" x14ac:dyDescent="0.2">
      <c r="B1378" s="129"/>
      <c r="C1378" s="129"/>
      <c r="D1378" s="129"/>
      <c r="E1378" s="129"/>
      <c r="F1378" s="129"/>
    </row>
    <row r="1379" spans="2:6" x14ac:dyDescent="0.2">
      <c r="B1379" s="129"/>
      <c r="C1379" s="129"/>
      <c r="D1379" s="129"/>
      <c r="E1379" s="129"/>
      <c r="F1379" s="129"/>
    </row>
    <row r="1380" spans="2:6" x14ac:dyDescent="0.2">
      <c r="B1380" s="129"/>
      <c r="C1380" s="129"/>
      <c r="D1380" s="129"/>
      <c r="E1380" s="129"/>
      <c r="F1380" s="129"/>
    </row>
    <row r="1381" spans="2:6" x14ac:dyDescent="0.2">
      <c r="B1381" s="129"/>
      <c r="C1381" s="129"/>
      <c r="D1381" s="129"/>
      <c r="E1381" s="129"/>
      <c r="F1381" s="129"/>
    </row>
    <row r="1382" spans="2:6" x14ac:dyDescent="0.2">
      <c r="B1382" s="129"/>
      <c r="C1382" s="129"/>
      <c r="D1382" s="129"/>
      <c r="E1382" s="129"/>
      <c r="F1382" s="129"/>
    </row>
    <row r="1383" spans="2:6" x14ac:dyDescent="0.2">
      <c r="B1383" s="129"/>
      <c r="C1383" s="129"/>
      <c r="D1383" s="129"/>
      <c r="E1383" s="129"/>
      <c r="F1383" s="129"/>
    </row>
    <row r="1384" spans="2:6" x14ac:dyDescent="0.2">
      <c r="B1384" s="129"/>
      <c r="C1384" s="129"/>
      <c r="D1384" s="129"/>
      <c r="E1384" s="129"/>
      <c r="F1384" s="129"/>
    </row>
    <row r="1385" spans="2:6" x14ac:dyDescent="0.2">
      <c r="B1385" s="129"/>
      <c r="C1385" s="129"/>
      <c r="D1385" s="129"/>
      <c r="E1385" s="129"/>
      <c r="F1385" s="129"/>
    </row>
    <row r="1386" spans="2:6" x14ac:dyDescent="0.2">
      <c r="B1386" s="129"/>
      <c r="C1386" s="129"/>
      <c r="D1386" s="129"/>
      <c r="E1386" s="129"/>
      <c r="F1386" s="129"/>
    </row>
    <row r="1387" spans="2:6" x14ac:dyDescent="0.2">
      <c r="B1387" s="129"/>
      <c r="C1387" s="129"/>
      <c r="D1387" s="129"/>
      <c r="E1387" s="129"/>
      <c r="F1387" s="129"/>
    </row>
    <row r="1388" spans="2:6" x14ac:dyDescent="0.2">
      <c r="B1388" s="129"/>
      <c r="C1388" s="129"/>
      <c r="D1388" s="129"/>
      <c r="E1388" s="129"/>
      <c r="F1388" s="129"/>
    </row>
    <row r="1389" spans="2:6" x14ac:dyDescent="0.2">
      <c r="B1389" s="129"/>
      <c r="C1389" s="129"/>
      <c r="D1389" s="129"/>
      <c r="E1389" s="129"/>
      <c r="F1389" s="129"/>
    </row>
    <row r="1390" spans="2:6" x14ac:dyDescent="0.2">
      <c r="B1390" s="129"/>
      <c r="C1390" s="129"/>
      <c r="D1390" s="129"/>
      <c r="E1390" s="129"/>
      <c r="F1390" s="129"/>
    </row>
    <row r="1391" spans="2:6" x14ac:dyDescent="0.2">
      <c r="B1391" s="129"/>
      <c r="C1391" s="129"/>
      <c r="D1391" s="129"/>
      <c r="E1391" s="129"/>
      <c r="F1391" s="129"/>
    </row>
    <row r="1392" spans="2:6" x14ac:dyDescent="0.2">
      <c r="B1392" s="129"/>
      <c r="C1392" s="129"/>
      <c r="D1392" s="129"/>
      <c r="E1392" s="129"/>
      <c r="F1392" s="129"/>
    </row>
    <row r="1393" spans="2:6" x14ac:dyDescent="0.2">
      <c r="B1393" s="129"/>
      <c r="C1393" s="129"/>
      <c r="D1393" s="129"/>
      <c r="E1393" s="129"/>
      <c r="F1393" s="129"/>
    </row>
    <row r="1394" spans="2:6" x14ac:dyDescent="0.2">
      <c r="B1394" s="129"/>
      <c r="C1394" s="129"/>
      <c r="D1394" s="129"/>
      <c r="E1394" s="129"/>
      <c r="F1394" s="129"/>
    </row>
    <row r="1395" spans="2:6" x14ac:dyDescent="0.2">
      <c r="B1395" s="129"/>
      <c r="C1395" s="129"/>
      <c r="D1395" s="129"/>
      <c r="E1395" s="129"/>
      <c r="F1395" s="129"/>
    </row>
    <row r="1396" spans="2:6" x14ac:dyDescent="0.2">
      <c r="B1396" s="129"/>
      <c r="C1396" s="129"/>
      <c r="D1396" s="129"/>
      <c r="E1396" s="129"/>
      <c r="F1396" s="129"/>
    </row>
    <row r="1397" spans="2:6" x14ac:dyDescent="0.2">
      <c r="B1397" s="129"/>
      <c r="C1397" s="129"/>
      <c r="D1397" s="129"/>
      <c r="E1397" s="129"/>
      <c r="F1397" s="129"/>
    </row>
    <row r="1398" spans="2:6" x14ac:dyDescent="0.2">
      <c r="B1398" s="129"/>
      <c r="C1398" s="129"/>
      <c r="D1398" s="129"/>
      <c r="E1398" s="129"/>
      <c r="F1398" s="129"/>
    </row>
    <row r="1399" spans="2:6" x14ac:dyDescent="0.2">
      <c r="B1399" s="129"/>
      <c r="C1399" s="129"/>
      <c r="D1399" s="129"/>
      <c r="E1399" s="129"/>
      <c r="F1399" s="129"/>
    </row>
    <row r="1400" spans="2:6" x14ac:dyDescent="0.2">
      <c r="B1400" s="129"/>
      <c r="C1400" s="129"/>
      <c r="D1400" s="129"/>
      <c r="E1400" s="129"/>
      <c r="F1400" s="129"/>
    </row>
    <row r="1401" spans="2:6" x14ac:dyDescent="0.2">
      <c r="B1401" s="129"/>
      <c r="C1401" s="129"/>
      <c r="D1401" s="129"/>
      <c r="E1401" s="129"/>
      <c r="F1401" s="129"/>
    </row>
    <row r="1402" spans="2:6" x14ac:dyDescent="0.2">
      <c r="B1402" s="129"/>
      <c r="C1402" s="129"/>
      <c r="D1402" s="129"/>
      <c r="E1402" s="129"/>
      <c r="F1402" s="129"/>
    </row>
    <row r="1403" spans="2:6" x14ac:dyDescent="0.2">
      <c r="B1403" s="129"/>
      <c r="C1403" s="129"/>
      <c r="D1403" s="129"/>
      <c r="E1403" s="129"/>
      <c r="F1403" s="129"/>
    </row>
    <row r="1404" spans="2:6" x14ac:dyDescent="0.2">
      <c r="B1404" s="129"/>
      <c r="C1404" s="129"/>
      <c r="D1404" s="129"/>
      <c r="E1404" s="129"/>
      <c r="F1404" s="129"/>
    </row>
    <row r="1405" spans="2:6" x14ac:dyDescent="0.2">
      <c r="B1405" s="129"/>
      <c r="C1405" s="129"/>
      <c r="D1405" s="129"/>
      <c r="E1405" s="129"/>
      <c r="F1405" s="129"/>
    </row>
    <row r="1406" spans="2:6" x14ac:dyDescent="0.2">
      <c r="B1406" s="129"/>
      <c r="C1406" s="129"/>
      <c r="D1406" s="129"/>
      <c r="E1406" s="129"/>
      <c r="F1406" s="129"/>
    </row>
    <row r="1407" spans="2:6" x14ac:dyDescent="0.2">
      <c r="B1407" s="129"/>
      <c r="C1407" s="129"/>
      <c r="D1407" s="129"/>
      <c r="E1407" s="129"/>
      <c r="F1407" s="129"/>
    </row>
    <row r="1408" spans="2:6" x14ac:dyDescent="0.2">
      <c r="B1408" s="129"/>
      <c r="C1408" s="129"/>
      <c r="D1408" s="129"/>
      <c r="E1408" s="129"/>
      <c r="F1408" s="129"/>
    </row>
    <row r="1409" spans="2:6" x14ac:dyDescent="0.2">
      <c r="B1409" s="129"/>
      <c r="C1409" s="129"/>
      <c r="D1409" s="129"/>
      <c r="E1409" s="129"/>
      <c r="F1409" s="129"/>
    </row>
    <row r="1410" spans="2:6" x14ac:dyDescent="0.2">
      <c r="B1410" s="129"/>
      <c r="C1410" s="129"/>
      <c r="D1410" s="129"/>
      <c r="E1410" s="129"/>
      <c r="F1410" s="129"/>
    </row>
    <row r="1411" spans="2:6" x14ac:dyDescent="0.2">
      <c r="B1411" s="129"/>
      <c r="C1411" s="129"/>
      <c r="D1411" s="129"/>
      <c r="E1411" s="129"/>
      <c r="F1411" s="129"/>
    </row>
    <row r="1412" spans="2:6" x14ac:dyDescent="0.2">
      <c r="B1412" s="129"/>
      <c r="C1412" s="129"/>
      <c r="D1412" s="129"/>
      <c r="E1412" s="129"/>
      <c r="F1412" s="129"/>
    </row>
    <row r="1413" spans="2:6" x14ac:dyDescent="0.2">
      <c r="B1413" s="129"/>
      <c r="C1413" s="129"/>
      <c r="D1413" s="129"/>
      <c r="E1413" s="129"/>
      <c r="F1413" s="129"/>
    </row>
    <row r="1414" spans="2:6" x14ac:dyDescent="0.2">
      <c r="B1414" s="129"/>
      <c r="C1414" s="129"/>
      <c r="D1414" s="129"/>
      <c r="E1414" s="129"/>
      <c r="F1414" s="129"/>
    </row>
    <row r="1415" spans="2:6" x14ac:dyDescent="0.2">
      <c r="B1415" s="129"/>
      <c r="C1415" s="129"/>
      <c r="D1415" s="129"/>
      <c r="E1415" s="129"/>
      <c r="F1415" s="129"/>
    </row>
    <row r="1416" spans="2:6" x14ac:dyDescent="0.2">
      <c r="B1416" s="129"/>
      <c r="C1416" s="129"/>
      <c r="D1416" s="129"/>
      <c r="E1416" s="129"/>
      <c r="F1416" s="129"/>
    </row>
    <row r="1417" spans="2:6" x14ac:dyDescent="0.2">
      <c r="B1417" s="129"/>
      <c r="C1417" s="129"/>
      <c r="D1417" s="129"/>
      <c r="E1417" s="129"/>
      <c r="F1417" s="129"/>
    </row>
    <row r="1418" spans="2:6" x14ac:dyDescent="0.2">
      <c r="B1418" s="129"/>
      <c r="C1418" s="129"/>
      <c r="D1418" s="129"/>
      <c r="E1418" s="129"/>
      <c r="F1418" s="129"/>
    </row>
    <row r="1419" spans="2:6" x14ac:dyDescent="0.2">
      <c r="B1419" s="129"/>
      <c r="C1419" s="129"/>
      <c r="D1419" s="129"/>
      <c r="E1419" s="129"/>
      <c r="F1419" s="129"/>
    </row>
    <row r="1420" spans="2:6" x14ac:dyDescent="0.2">
      <c r="B1420" s="129"/>
      <c r="C1420" s="129"/>
      <c r="D1420" s="129"/>
      <c r="E1420" s="129"/>
      <c r="F1420" s="129"/>
    </row>
    <row r="1421" spans="2:6" x14ac:dyDescent="0.2">
      <c r="B1421" s="129"/>
      <c r="C1421" s="129"/>
      <c r="D1421" s="129"/>
      <c r="E1421" s="129"/>
      <c r="F1421" s="129"/>
    </row>
    <row r="1422" spans="2:6" x14ac:dyDescent="0.2">
      <c r="B1422" s="129"/>
      <c r="C1422" s="129"/>
      <c r="D1422" s="129"/>
      <c r="E1422" s="129"/>
      <c r="F1422" s="129"/>
    </row>
    <row r="1423" spans="2:6" x14ac:dyDescent="0.2">
      <c r="B1423" s="129"/>
      <c r="C1423" s="129"/>
      <c r="D1423" s="129"/>
      <c r="E1423" s="129"/>
      <c r="F1423" s="129"/>
    </row>
    <row r="1424" spans="2:6" x14ac:dyDescent="0.2">
      <c r="B1424" s="129"/>
      <c r="C1424" s="129"/>
      <c r="D1424" s="129"/>
      <c r="E1424" s="129"/>
      <c r="F1424" s="129"/>
    </row>
    <row r="1425" spans="2:6" x14ac:dyDescent="0.2">
      <c r="B1425" s="129"/>
      <c r="C1425" s="129"/>
      <c r="D1425" s="129"/>
      <c r="E1425" s="129"/>
      <c r="F1425" s="129"/>
    </row>
    <row r="1426" spans="2:6" x14ac:dyDescent="0.2">
      <c r="B1426" s="129"/>
      <c r="C1426" s="129"/>
      <c r="D1426" s="129"/>
      <c r="E1426" s="129"/>
      <c r="F1426" s="129"/>
    </row>
    <row r="1427" spans="2:6" x14ac:dyDescent="0.2">
      <c r="B1427" s="129"/>
      <c r="C1427" s="129"/>
      <c r="D1427" s="129"/>
      <c r="E1427" s="129"/>
      <c r="F1427" s="129"/>
    </row>
    <row r="1428" spans="2:6" x14ac:dyDescent="0.2">
      <c r="B1428" s="129"/>
      <c r="C1428" s="129"/>
      <c r="D1428" s="129"/>
      <c r="E1428" s="129"/>
      <c r="F1428" s="129"/>
    </row>
    <row r="1429" spans="2:6" x14ac:dyDescent="0.2">
      <c r="B1429" s="129"/>
      <c r="C1429" s="129"/>
      <c r="D1429" s="129"/>
      <c r="E1429" s="129"/>
      <c r="F1429" s="129"/>
    </row>
    <row r="1430" spans="2:6" x14ac:dyDescent="0.2">
      <c r="B1430" s="129"/>
      <c r="C1430" s="129"/>
      <c r="D1430" s="129"/>
      <c r="E1430" s="129"/>
      <c r="F1430" s="129"/>
    </row>
    <row r="1431" spans="2:6" x14ac:dyDescent="0.2">
      <c r="B1431" s="129"/>
      <c r="C1431" s="129"/>
      <c r="D1431" s="129"/>
      <c r="E1431" s="129"/>
      <c r="F1431" s="129"/>
    </row>
    <row r="1432" spans="2:6" x14ac:dyDescent="0.2">
      <c r="B1432" s="129"/>
      <c r="C1432" s="129"/>
      <c r="D1432" s="129"/>
      <c r="E1432" s="129"/>
      <c r="F1432" s="129"/>
    </row>
    <row r="1433" spans="2:6" x14ac:dyDescent="0.2">
      <c r="B1433" s="129"/>
      <c r="C1433" s="129"/>
      <c r="D1433" s="129"/>
      <c r="E1433" s="129"/>
      <c r="F1433" s="129"/>
    </row>
    <row r="1434" spans="2:6" x14ac:dyDescent="0.2">
      <c r="B1434" s="129"/>
      <c r="C1434" s="129"/>
      <c r="D1434" s="129"/>
      <c r="E1434" s="129"/>
      <c r="F1434" s="129"/>
    </row>
    <row r="1435" spans="2:6" x14ac:dyDescent="0.2">
      <c r="B1435" s="129"/>
      <c r="C1435" s="129"/>
      <c r="D1435" s="129"/>
      <c r="E1435" s="129"/>
      <c r="F1435" s="129"/>
    </row>
    <row r="1436" spans="2:6" x14ac:dyDescent="0.2">
      <c r="B1436" s="129"/>
      <c r="C1436" s="129"/>
      <c r="D1436" s="129"/>
      <c r="E1436" s="129"/>
      <c r="F1436" s="129"/>
    </row>
    <row r="1437" spans="2:6" x14ac:dyDescent="0.2">
      <c r="B1437" s="129"/>
      <c r="C1437" s="129"/>
      <c r="D1437" s="129"/>
      <c r="E1437" s="129"/>
      <c r="F1437" s="129"/>
    </row>
    <row r="1438" spans="2:6" x14ac:dyDescent="0.2">
      <c r="B1438" s="129"/>
      <c r="C1438" s="129"/>
      <c r="D1438" s="129"/>
      <c r="E1438" s="129"/>
      <c r="F1438" s="129"/>
    </row>
    <row r="1439" spans="2:6" x14ac:dyDescent="0.2">
      <c r="B1439" s="129"/>
      <c r="C1439" s="129"/>
      <c r="D1439" s="129"/>
      <c r="E1439" s="129"/>
      <c r="F1439" s="129"/>
    </row>
    <row r="1440" spans="2:6" x14ac:dyDescent="0.2">
      <c r="B1440" s="129"/>
      <c r="C1440" s="129"/>
      <c r="D1440" s="129"/>
      <c r="E1440" s="129"/>
      <c r="F1440" s="129"/>
    </row>
    <row r="1441" spans="2:6" x14ac:dyDescent="0.2">
      <c r="B1441" s="129"/>
      <c r="C1441" s="129"/>
      <c r="D1441" s="129"/>
      <c r="E1441" s="129"/>
      <c r="F1441" s="129"/>
    </row>
    <row r="1442" spans="2:6" x14ac:dyDescent="0.2">
      <c r="B1442" s="129"/>
      <c r="C1442" s="129"/>
      <c r="D1442" s="129"/>
      <c r="E1442" s="129"/>
      <c r="F1442" s="129"/>
    </row>
    <row r="1443" spans="2:6" x14ac:dyDescent="0.2">
      <c r="B1443" s="129"/>
      <c r="C1443" s="129"/>
      <c r="D1443" s="129"/>
      <c r="E1443" s="129"/>
      <c r="F1443" s="129"/>
    </row>
    <row r="1444" spans="2:6" x14ac:dyDescent="0.2">
      <c r="B1444" s="129"/>
      <c r="C1444" s="129"/>
      <c r="D1444" s="129"/>
      <c r="E1444" s="129"/>
      <c r="F1444" s="129"/>
    </row>
    <row r="1445" spans="2:6" x14ac:dyDescent="0.2">
      <c r="B1445" s="129"/>
      <c r="C1445" s="129"/>
      <c r="D1445" s="129"/>
      <c r="E1445" s="129"/>
      <c r="F1445" s="129"/>
    </row>
    <row r="1446" spans="2:6" x14ac:dyDescent="0.2">
      <c r="B1446" s="129"/>
      <c r="C1446" s="129"/>
      <c r="D1446" s="129"/>
      <c r="E1446" s="129"/>
      <c r="F1446" s="129"/>
    </row>
    <row r="1447" spans="2:6" x14ac:dyDescent="0.2">
      <c r="B1447" s="129"/>
      <c r="C1447" s="129"/>
      <c r="D1447" s="129"/>
      <c r="E1447" s="129"/>
      <c r="F1447" s="129"/>
    </row>
    <row r="1448" spans="2:6" x14ac:dyDescent="0.2">
      <c r="B1448" s="129"/>
      <c r="C1448" s="129"/>
      <c r="D1448" s="129"/>
      <c r="E1448" s="129"/>
      <c r="F1448" s="129"/>
    </row>
    <row r="1449" spans="2:6" x14ac:dyDescent="0.2">
      <c r="B1449" s="129"/>
      <c r="C1449" s="129"/>
      <c r="D1449" s="129"/>
      <c r="E1449" s="129"/>
      <c r="F1449" s="129"/>
    </row>
    <row r="1450" spans="2:6" x14ac:dyDescent="0.2">
      <c r="B1450" s="129"/>
      <c r="C1450" s="129"/>
      <c r="D1450" s="129"/>
      <c r="E1450" s="129"/>
      <c r="F1450" s="129"/>
    </row>
    <row r="1451" spans="2:6" x14ac:dyDescent="0.2">
      <c r="B1451" s="129"/>
      <c r="C1451" s="129"/>
      <c r="D1451" s="129"/>
      <c r="E1451" s="129"/>
      <c r="F1451" s="129"/>
    </row>
    <row r="1452" spans="2:6" x14ac:dyDescent="0.2">
      <c r="B1452" s="129"/>
      <c r="C1452" s="129"/>
      <c r="D1452" s="129"/>
      <c r="E1452" s="129"/>
      <c r="F1452" s="129"/>
    </row>
    <row r="1453" spans="2:6" x14ac:dyDescent="0.2">
      <c r="B1453" s="129"/>
      <c r="C1453" s="129"/>
      <c r="D1453" s="129"/>
      <c r="E1453" s="129"/>
      <c r="F1453" s="129"/>
    </row>
    <row r="1454" spans="2:6" x14ac:dyDescent="0.2">
      <c r="B1454" s="129"/>
      <c r="C1454" s="129"/>
      <c r="D1454" s="129"/>
      <c r="E1454" s="129"/>
      <c r="F1454" s="129"/>
    </row>
    <row r="1455" spans="2:6" x14ac:dyDescent="0.2">
      <c r="B1455" s="129"/>
      <c r="C1455" s="129"/>
      <c r="D1455" s="129"/>
      <c r="E1455" s="129"/>
      <c r="F1455" s="129"/>
    </row>
    <row r="1456" spans="2:6" x14ac:dyDescent="0.2">
      <c r="B1456" s="129"/>
      <c r="C1456" s="129"/>
      <c r="D1456" s="129"/>
      <c r="E1456" s="129"/>
      <c r="F1456" s="129"/>
    </row>
    <row r="1457" spans="2:6" x14ac:dyDescent="0.2">
      <c r="B1457" s="129"/>
      <c r="C1457" s="129"/>
      <c r="D1457" s="129"/>
      <c r="E1457" s="129"/>
      <c r="F1457" s="129"/>
    </row>
    <row r="1458" spans="2:6" x14ac:dyDescent="0.2">
      <c r="B1458" s="129"/>
      <c r="C1458" s="129"/>
      <c r="D1458" s="129"/>
      <c r="E1458" s="129"/>
      <c r="F1458" s="129"/>
    </row>
    <row r="1459" spans="2:6" x14ac:dyDescent="0.2">
      <c r="B1459" s="129"/>
      <c r="C1459" s="129"/>
      <c r="D1459" s="129"/>
      <c r="E1459" s="129"/>
      <c r="F1459" s="129"/>
    </row>
    <row r="1460" spans="2:6" x14ac:dyDescent="0.2">
      <c r="B1460" s="129"/>
      <c r="C1460" s="129"/>
      <c r="D1460" s="129"/>
      <c r="E1460" s="129"/>
      <c r="F1460" s="129"/>
    </row>
    <row r="1461" spans="2:6" x14ac:dyDescent="0.2">
      <c r="B1461" s="129"/>
      <c r="C1461" s="129"/>
      <c r="D1461" s="129"/>
      <c r="E1461" s="129"/>
      <c r="F1461" s="129"/>
    </row>
    <row r="1462" spans="2:6" x14ac:dyDescent="0.2">
      <c r="B1462" s="129"/>
      <c r="C1462" s="129"/>
      <c r="D1462" s="129"/>
      <c r="E1462" s="129"/>
      <c r="F1462" s="129"/>
    </row>
    <row r="1463" spans="2:6" x14ac:dyDescent="0.2">
      <c r="B1463" s="129"/>
      <c r="C1463" s="129"/>
      <c r="D1463" s="129"/>
      <c r="E1463" s="129"/>
      <c r="F1463" s="129"/>
    </row>
    <row r="1464" spans="2:6" x14ac:dyDescent="0.2">
      <c r="B1464" s="129"/>
      <c r="C1464" s="129"/>
      <c r="D1464" s="129"/>
      <c r="E1464" s="129"/>
      <c r="F1464" s="129"/>
    </row>
    <row r="1465" spans="2:6" x14ac:dyDescent="0.2">
      <c r="B1465" s="129"/>
      <c r="C1465" s="129"/>
      <c r="D1465" s="129"/>
      <c r="E1465" s="129"/>
      <c r="F1465" s="129"/>
    </row>
    <row r="1466" spans="2:6" x14ac:dyDescent="0.2">
      <c r="B1466" s="129"/>
      <c r="C1466" s="129"/>
      <c r="D1466" s="129"/>
      <c r="E1466" s="129"/>
      <c r="F1466" s="129"/>
    </row>
    <row r="1467" spans="2:6" x14ac:dyDescent="0.2">
      <c r="B1467" s="129"/>
      <c r="C1467" s="129"/>
      <c r="D1467" s="129"/>
      <c r="E1467" s="129"/>
      <c r="F1467" s="129"/>
    </row>
    <row r="1468" spans="2:6" x14ac:dyDescent="0.2">
      <c r="B1468" s="129"/>
      <c r="C1468" s="129"/>
      <c r="D1468" s="129"/>
      <c r="E1468" s="129"/>
      <c r="F1468" s="129"/>
    </row>
    <row r="1469" spans="2:6" x14ac:dyDescent="0.2">
      <c r="B1469" s="129"/>
      <c r="C1469" s="129"/>
      <c r="D1469" s="129"/>
      <c r="E1469" s="129"/>
      <c r="F1469" s="129"/>
    </row>
    <row r="1470" spans="2:6" x14ac:dyDescent="0.2">
      <c r="B1470" s="129"/>
      <c r="C1470" s="129"/>
      <c r="D1470" s="129"/>
      <c r="E1470" s="129"/>
      <c r="F1470" s="129"/>
    </row>
    <row r="1471" spans="2:6" x14ac:dyDescent="0.2">
      <c r="B1471" s="129"/>
      <c r="C1471" s="129"/>
      <c r="D1471" s="129"/>
      <c r="E1471" s="129"/>
      <c r="F1471" s="129"/>
    </row>
    <row r="1472" spans="2:6" x14ac:dyDescent="0.2">
      <c r="B1472" s="129"/>
      <c r="C1472" s="129"/>
      <c r="D1472" s="129"/>
      <c r="E1472" s="129"/>
      <c r="F1472" s="129"/>
    </row>
    <row r="1473" spans="2:6" x14ac:dyDescent="0.2">
      <c r="B1473" s="129"/>
      <c r="C1473" s="129"/>
      <c r="D1473" s="129"/>
      <c r="E1473" s="129"/>
      <c r="F1473" s="129"/>
    </row>
    <row r="1474" spans="2:6" x14ac:dyDescent="0.2">
      <c r="B1474" s="129"/>
      <c r="C1474" s="129"/>
      <c r="D1474" s="129"/>
      <c r="E1474" s="129"/>
      <c r="F1474" s="129"/>
    </row>
    <row r="1475" spans="2:6" x14ac:dyDescent="0.2">
      <c r="B1475" s="129"/>
      <c r="C1475" s="129"/>
      <c r="D1475" s="129"/>
      <c r="E1475" s="129"/>
      <c r="F1475" s="129"/>
    </row>
    <row r="1476" spans="2:6" x14ac:dyDescent="0.2">
      <c r="B1476" s="129"/>
      <c r="C1476" s="129"/>
      <c r="D1476" s="129"/>
      <c r="E1476" s="129"/>
      <c r="F1476" s="129"/>
    </row>
    <row r="1477" spans="2:6" x14ac:dyDescent="0.2">
      <c r="B1477" s="129"/>
      <c r="C1477" s="129"/>
      <c r="D1477" s="129"/>
      <c r="E1477" s="129"/>
      <c r="F1477" s="129"/>
    </row>
    <row r="1478" spans="2:6" x14ac:dyDescent="0.2">
      <c r="B1478" s="129"/>
      <c r="C1478" s="129"/>
      <c r="D1478" s="129"/>
      <c r="E1478" s="129"/>
      <c r="F1478" s="129"/>
    </row>
    <row r="1479" spans="2:6" x14ac:dyDescent="0.2">
      <c r="B1479" s="129"/>
      <c r="C1479" s="129"/>
      <c r="D1479" s="129"/>
      <c r="E1479" s="129"/>
      <c r="F1479" s="129"/>
    </row>
    <row r="1480" spans="2:6" x14ac:dyDescent="0.2">
      <c r="B1480" s="129"/>
      <c r="C1480" s="129"/>
      <c r="D1480" s="129"/>
      <c r="E1480" s="129"/>
      <c r="F1480" s="129"/>
    </row>
    <row r="1481" spans="2:6" x14ac:dyDescent="0.2">
      <c r="B1481" s="129"/>
      <c r="C1481" s="129"/>
      <c r="D1481" s="129"/>
      <c r="E1481" s="129"/>
      <c r="F1481" s="129"/>
    </row>
    <row r="1482" spans="2:6" x14ac:dyDescent="0.2">
      <c r="B1482" s="129"/>
      <c r="C1482" s="129"/>
      <c r="D1482" s="129"/>
      <c r="E1482" s="129"/>
      <c r="F1482" s="129"/>
    </row>
    <row r="1483" spans="2:6" x14ac:dyDescent="0.2">
      <c r="B1483" s="129"/>
      <c r="C1483" s="129"/>
      <c r="D1483" s="129"/>
      <c r="E1483" s="129"/>
      <c r="F1483" s="129"/>
    </row>
    <row r="1484" spans="2:6" x14ac:dyDescent="0.2">
      <c r="B1484" s="129"/>
      <c r="C1484" s="129"/>
      <c r="D1484" s="129"/>
      <c r="E1484" s="129"/>
      <c r="F1484" s="129"/>
    </row>
    <row r="1485" spans="2:6" x14ac:dyDescent="0.2">
      <c r="B1485" s="129"/>
      <c r="C1485" s="129"/>
      <c r="D1485" s="129"/>
      <c r="E1485" s="129"/>
      <c r="F1485" s="129"/>
    </row>
    <row r="1486" spans="2:6" x14ac:dyDescent="0.2">
      <c r="B1486" s="129"/>
      <c r="C1486" s="129"/>
      <c r="D1486" s="129"/>
      <c r="E1486" s="129"/>
      <c r="F1486" s="129"/>
    </row>
    <row r="1487" spans="2:6" x14ac:dyDescent="0.2">
      <c r="B1487" s="129"/>
      <c r="C1487" s="129"/>
      <c r="D1487" s="129"/>
      <c r="E1487" s="129"/>
      <c r="F1487" s="129"/>
    </row>
    <row r="1488" spans="2:6" x14ac:dyDescent="0.2">
      <c r="B1488" s="129"/>
      <c r="C1488" s="129"/>
      <c r="D1488" s="129"/>
      <c r="E1488" s="129"/>
      <c r="F1488" s="129"/>
    </row>
    <row r="1489" spans="2:6" x14ac:dyDescent="0.2">
      <c r="B1489" s="129"/>
      <c r="C1489" s="129"/>
      <c r="D1489" s="129"/>
      <c r="E1489" s="129"/>
      <c r="F1489" s="129"/>
    </row>
    <row r="1490" spans="2:6" x14ac:dyDescent="0.2">
      <c r="B1490" s="129"/>
      <c r="C1490" s="129"/>
      <c r="D1490" s="129"/>
      <c r="E1490" s="129"/>
      <c r="F1490" s="129"/>
    </row>
    <row r="1491" spans="2:6" x14ac:dyDescent="0.2">
      <c r="B1491" s="129"/>
      <c r="C1491" s="129"/>
      <c r="D1491" s="129"/>
      <c r="E1491" s="129"/>
      <c r="F1491" s="129"/>
    </row>
    <row r="1492" spans="2:6" x14ac:dyDescent="0.2">
      <c r="B1492" s="129"/>
      <c r="C1492" s="129"/>
      <c r="D1492" s="129"/>
      <c r="E1492" s="129"/>
      <c r="F1492" s="129"/>
    </row>
    <row r="1493" spans="2:6" x14ac:dyDescent="0.2">
      <c r="B1493" s="129"/>
      <c r="C1493" s="129"/>
      <c r="D1493" s="129"/>
      <c r="E1493" s="129"/>
      <c r="F1493" s="129"/>
    </row>
    <row r="1494" spans="2:6" x14ac:dyDescent="0.2">
      <c r="B1494" s="129"/>
      <c r="C1494" s="129"/>
      <c r="D1494" s="129"/>
      <c r="E1494" s="129"/>
      <c r="F1494" s="129"/>
    </row>
    <row r="1495" spans="2:6" x14ac:dyDescent="0.2">
      <c r="B1495" s="129"/>
      <c r="C1495" s="129"/>
      <c r="D1495" s="129"/>
      <c r="E1495" s="129"/>
      <c r="F1495" s="129"/>
    </row>
    <row r="1496" spans="2:6" x14ac:dyDescent="0.2">
      <c r="B1496" s="129"/>
      <c r="C1496" s="129"/>
      <c r="D1496" s="129"/>
      <c r="E1496" s="129"/>
      <c r="F1496" s="129"/>
    </row>
    <row r="1497" spans="2:6" x14ac:dyDescent="0.2">
      <c r="B1497" s="129"/>
      <c r="C1497" s="129"/>
      <c r="D1497" s="129"/>
      <c r="E1497" s="129"/>
      <c r="F1497" s="129"/>
    </row>
    <row r="1498" spans="2:6" x14ac:dyDescent="0.2">
      <c r="B1498" s="129"/>
      <c r="C1498" s="129"/>
      <c r="D1498" s="129"/>
      <c r="E1498" s="129"/>
      <c r="F1498" s="129"/>
    </row>
    <row r="1499" spans="2:6" x14ac:dyDescent="0.2">
      <c r="B1499" s="129"/>
      <c r="C1499" s="129"/>
      <c r="D1499" s="129"/>
      <c r="E1499" s="129"/>
      <c r="F1499" s="129"/>
    </row>
    <row r="1500" spans="2:6" x14ac:dyDescent="0.2">
      <c r="B1500" s="129"/>
      <c r="C1500" s="129"/>
      <c r="D1500" s="129"/>
      <c r="E1500" s="129"/>
      <c r="F1500" s="129"/>
    </row>
    <row r="1501" spans="2:6" x14ac:dyDescent="0.2">
      <c r="B1501" s="129"/>
      <c r="C1501" s="129"/>
      <c r="D1501" s="129"/>
      <c r="E1501" s="129"/>
      <c r="F1501" s="129"/>
    </row>
    <row r="1502" spans="2:6" x14ac:dyDescent="0.2">
      <c r="B1502" s="129"/>
      <c r="C1502" s="129"/>
      <c r="D1502" s="129"/>
      <c r="E1502" s="129"/>
      <c r="F1502" s="129"/>
    </row>
    <row r="1503" spans="2:6" x14ac:dyDescent="0.2">
      <c r="B1503" s="129"/>
      <c r="C1503" s="129"/>
      <c r="D1503" s="129"/>
      <c r="E1503" s="129"/>
      <c r="F1503" s="129"/>
    </row>
    <row r="1504" spans="2:6" x14ac:dyDescent="0.2">
      <c r="B1504" s="129"/>
      <c r="C1504" s="129"/>
      <c r="D1504" s="129"/>
      <c r="E1504" s="129"/>
      <c r="F1504" s="129"/>
    </row>
    <row r="1505" spans="2:6" x14ac:dyDescent="0.2">
      <c r="B1505" s="129"/>
      <c r="C1505" s="129"/>
      <c r="D1505" s="129"/>
      <c r="E1505" s="129"/>
      <c r="F1505" s="129"/>
    </row>
    <row r="1506" spans="2:6" x14ac:dyDescent="0.2">
      <c r="B1506" s="129"/>
      <c r="C1506" s="129"/>
      <c r="D1506" s="129"/>
      <c r="E1506" s="129"/>
      <c r="F1506" s="129"/>
    </row>
    <row r="1507" spans="2:6" x14ac:dyDescent="0.2">
      <c r="B1507" s="129"/>
      <c r="C1507" s="129"/>
      <c r="D1507" s="129"/>
      <c r="E1507" s="129"/>
      <c r="F1507" s="129"/>
    </row>
    <row r="1508" spans="2:6" x14ac:dyDescent="0.2">
      <c r="B1508" s="129"/>
      <c r="C1508" s="129"/>
      <c r="D1508" s="129"/>
      <c r="E1508" s="129"/>
      <c r="F1508" s="129"/>
    </row>
    <row r="1509" spans="2:6" x14ac:dyDescent="0.2">
      <c r="B1509" s="129"/>
      <c r="C1509" s="129"/>
      <c r="D1509" s="129"/>
      <c r="E1509" s="129"/>
      <c r="F1509" s="129"/>
    </row>
    <row r="1510" spans="2:6" x14ac:dyDescent="0.2">
      <c r="B1510" s="129"/>
      <c r="C1510" s="129"/>
      <c r="D1510" s="129"/>
      <c r="E1510" s="129"/>
      <c r="F1510" s="129"/>
    </row>
    <row r="1511" spans="2:6" x14ac:dyDescent="0.2">
      <c r="B1511" s="129"/>
      <c r="C1511" s="129"/>
      <c r="D1511" s="129"/>
      <c r="E1511" s="129"/>
      <c r="F1511" s="129"/>
    </row>
    <row r="1512" spans="2:6" x14ac:dyDescent="0.2">
      <c r="B1512" s="129"/>
      <c r="C1512" s="129"/>
      <c r="D1512" s="129"/>
      <c r="E1512" s="129"/>
      <c r="F1512" s="129"/>
    </row>
    <row r="1513" spans="2:6" x14ac:dyDescent="0.2">
      <c r="B1513" s="129"/>
      <c r="C1513" s="129"/>
      <c r="D1513" s="129"/>
      <c r="E1513" s="129"/>
      <c r="F1513" s="129"/>
    </row>
    <row r="1514" spans="2:6" x14ac:dyDescent="0.2">
      <c r="B1514" s="129"/>
      <c r="C1514" s="129"/>
      <c r="D1514" s="129"/>
      <c r="E1514" s="129"/>
      <c r="F1514" s="129"/>
    </row>
    <row r="1515" spans="2:6" x14ac:dyDescent="0.2">
      <c r="B1515" s="129"/>
      <c r="C1515" s="129"/>
      <c r="D1515" s="129"/>
      <c r="E1515" s="129"/>
      <c r="F1515" s="129"/>
    </row>
    <row r="1516" spans="2:6" x14ac:dyDescent="0.2">
      <c r="B1516" s="129"/>
      <c r="C1516" s="129"/>
      <c r="D1516" s="129"/>
      <c r="E1516" s="129"/>
      <c r="F1516" s="129"/>
    </row>
    <row r="1517" spans="2:6" x14ac:dyDescent="0.2">
      <c r="B1517" s="129"/>
      <c r="C1517" s="129"/>
      <c r="D1517" s="129"/>
      <c r="E1517" s="129"/>
      <c r="F1517" s="129"/>
    </row>
    <row r="1518" spans="2:6" x14ac:dyDescent="0.2">
      <c r="B1518" s="129"/>
      <c r="C1518" s="129"/>
      <c r="D1518" s="129"/>
      <c r="E1518" s="129"/>
      <c r="F1518" s="129"/>
    </row>
    <row r="1519" spans="2:6" x14ac:dyDescent="0.2">
      <c r="B1519" s="129"/>
      <c r="C1519" s="129"/>
      <c r="D1519" s="129"/>
      <c r="E1519" s="129"/>
      <c r="F1519" s="129"/>
    </row>
    <row r="1520" spans="2:6" x14ac:dyDescent="0.2">
      <c r="B1520" s="129"/>
      <c r="C1520" s="129"/>
      <c r="D1520" s="129"/>
      <c r="E1520" s="129"/>
      <c r="F1520" s="129"/>
    </row>
    <row r="1521" spans="2:6" x14ac:dyDescent="0.2">
      <c r="B1521" s="129"/>
      <c r="C1521" s="129"/>
      <c r="D1521" s="129"/>
      <c r="E1521" s="129"/>
      <c r="F1521" s="129"/>
    </row>
    <row r="1522" spans="2:6" x14ac:dyDescent="0.2">
      <c r="B1522" s="129"/>
      <c r="C1522" s="129"/>
      <c r="D1522" s="129"/>
      <c r="E1522" s="129"/>
      <c r="F1522" s="129"/>
    </row>
    <row r="1523" spans="2:6" x14ac:dyDescent="0.2">
      <c r="B1523" s="129"/>
      <c r="C1523" s="129"/>
      <c r="D1523" s="129"/>
      <c r="E1523" s="129"/>
      <c r="F1523" s="129"/>
    </row>
    <row r="1524" spans="2:6" x14ac:dyDescent="0.2">
      <c r="B1524" s="129"/>
      <c r="C1524" s="129"/>
      <c r="D1524" s="129"/>
      <c r="E1524" s="129"/>
      <c r="F1524" s="129"/>
    </row>
    <row r="1525" spans="2:6" x14ac:dyDescent="0.2">
      <c r="B1525" s="129"/>
      <c r="C1525" s="129"/>
      <c r="D1525" s="129"/>
      <c r="E1525" s="129"/>
      <c r="F1525" s="129"/>
    </row>
    <row r="1526" spans="2:6" x14ac:dyDescent="0.2">
      <c r="B1526" s="129"/>
      <c r="C1526" s="129"/>
      <c r="D1526" s="129"/>
      <c r="E1526" s="129"/>
      <c r="F1526" s="129"/>
    </row>
    <row r="1527" spans="2:6" x14ac:dyDescent="0.2">
      <c r="B1527" s="129"/>
      <c r="C1527" s="129"/>
      <c r="D1527" s="129"/>
      <c r="E1527" s="129"/>
      <c r="F1527" s="129"/>
    </row>
    <row r="1528" spans="2:6" x14ac:dyDescent="0.2">
      <c r="B1528" s="129"/>
      <c r="C1528" s="129"/>
      <c r="D1528" s="129"/>
      <c r="E1528" s="129"/>
      <c r="F1528" s="129"/>
    </row>
    <row r="1529" spans="2:6" x14ac:dyDescent="0.2">
      <c r="B1529" s="129"/>
      <c r="C1529" s="129"/>
      <c r="D1529" s="129"/>
      <c r="E1529" s="129"/>
      <c r="F1529" s="129"/>
    </row>
    <row r="1530" spans="2:6" x14ac:dyDescent="0.2">
      <c r="B1530" s="129"/>
      <c r="C1530" s="129"/>
      <c r="D1530" s="129"/>
      <c r="E1530" s="129"/>
      <c r="F1530" s="129"/>
    </row>
    <row r="1531" spans="2:6" x14ac:dyDescent="0.2">
      <c r="B1531" s="129"/>
      <c r="C1531" s="129"/>
      <c r="D1531" s="129"/>
      <c r="E1531" s="129"/>
      <c r="F1531" s="129"/>
    </row>
    <row r="1532" spans="2:6" x14ac:dyDescent="0.2">
      <c r="B1532" s="129"/>
      <c r="C1532" s="129"/>
      <c r="D1532" s="129"/>
      <c r="E1532" s="129"/>
      <c r="F1532" s="129"/>
    </row>
    <row r="1533" spans="2:6" x14ac:dyDescent="0.2">
      <c r="B1533" s="129"/>
      <c r="C1533" s="129"/>
      <c r="D1533" s="129"/>
      <c r="E1533" s="129"/>
      <c r="F1533" s="129"/>
    </row>
    <row r="1534" spans="2:6" x14ac:dyDescent="0.2">
      <c r="B1534" s="129"/>
      <c r="C1534" s="129"/>
      <c r="D1534" s="129"/>
      <c r="E1534" s="129"/>
      <c r="F1534" s="129"/>
    </row>
    <row r="1535" spans="2:6" x14ac:dyDescent="0.2">
      <c r="B1535" s="129"/>
      <c r="C1535" s="129"/>
      <c r="D1535" s="129"/>
      <c r="E1535" s="129"/>
      <c r="F1535" s="129"/>
    </row>
    <row r="1536" spans="2:6" x14ac:dyDescent="0.2">
      <c r="B1536" s="129"/>
      <c r="C1536" s="129"/>
      <c r="D1536" s="129"/>
      <c r="E1536" s="129"/>
      <c r="F1536" s="129"/>
    </row>
    <row r="1537" spans="2:6" x14ac:dyDescent="0.2">
      <c r="B1537" s="129"/>
      <c r="C1537" s="129"/>
      <c r="D1537" s="129"/>
      <c r="E1537" s="129"/>
      <c r="F1537" s="129"/>
    </row>
    <row r="1538" spans="2:6" x14ac:dyDescent="0.2">
      <c r="B1538" s="129"/>
      <c r="C1538" s="129"/>
      <c r="D1538" s="129"/>
      <c r="E1538" s="129"/>
      <c r="F1538" s="129"/>
    </row>
    <row r="1539" spans="2:6" x14ac:dyDescent="0.2">
      <c r="B1539" s="129"/>
      <c r="C1539" s="129"/>
      <c r="D1539" s="129"/>
      <c r="E1539" s="129"/>
      <c r="F1539" s="129"/>
    </row>
    <row r="1540" spans="2:6" x14ac:dyDescent="0.2">
      <c r="B1540" s="129"/>
      <c r="C1540" s="129"/>
      <c r="D1540" s="129"/>
      <c r="E1540" s="129"/>
      <c r="F1540" s="129"/>
    </row>
    <row r="1541" spans="2:6" x14ac:dyDescent="0.2">
      <c r="B1541" s="129"/>
      <c r="C1541" s="129"/>
      <c r="D1541" s="129"/>
      <c r="E1541" s="129"/>
      <c r="F1541" s="129"/>
    </row>
    <row r="1542" spans="2:6" x14ac:dyDescent="0.2">
      <c r="B1542" s="129"/>
      <c r="C1542" s="129"/>
      <c r="D1542" s="129"/>
      <c r="E1542" s="129"/>
      <c r="F1542" s="129"/>
    </row>
    <row r="1543" spans="2:6" x14ac:dyDescent="0.2">
      <c r="B1543" s="129"/>
      <c r="C1543" s="129"/>
      <c r="D1543" s="129"/>
      <c r="E1543" s="129"/>
      <c r="F1543" s="129"/>
    </row>
    <row r="1544" spans="2:6" x14ac:dyDescent="0.2">
      <c r="B1544" s="129"/>
      <c r="C1544" s="129"/>
      <c r="D1544" s="129"/>
      <c r="E1544" s="129"/>
      <c r="F1544" s="129"/>
    </row>
    <row r="1545" spans="2:6" x14ac:dyDescent="0.2">
      <c r="B1545" s="129"/>
      <c r="C1545" s="129"/>
      <c r="D1545" s="129"/>
      <c r="E1545" s="129"/>
      <c r="F1545" s="129"/>
    </row>
    <row r="1546" spans="2:6" x14ac:dyDescent="0.2">
      <c r="B1546" s="129"/>
      <c r="C1546" s="129"/>
      <c r="D1546" s="129"/>
      <c r="E1546" s="129"/>
      <c r="F1546" s="129"/>
    </row>
    <row r="1547" spans="2:6" x14ac:dyDescent="0.2">
      <c r="B1547" s="129"/>
      <c r="C1547" s="129"/>
      <c r="D1547" s="129"/>
      <c r="E1547" s="129"/>
      <c r="F1547" s="129"/>
    </row>
    <row r="1548" spans="2:6" x14ac:dyDescent="0.2">
      <c r="B1548" s="129"/>
      <c r="C1548" s="129"/>
      <c r="D1548" s="129"/>
      <c r="E1548" s="129"/>
      <c r="F1548" s="129"/>
    </row>
    <row r="1549" spans="2:6" x14ac:dyDescent="0.2">
      <c r="B1549" s="129"/>
      <c r="C1549" s="129"/>
      <c r="D1549" s="129"/>
      <c r="E1549" s="129"/>
      <c r="F1549" s="129"/>
    </row>
    <row r="1550" spans="2:6" x14ac:dyDescent="0.2">
      <c r="B1550" s="129"/>
      <c r="C1550" s="129"/>
      <c r="D1550" s="129"/>
      <c r="E1550" s="129"/>
      <c r="F1550" s="129"/>
    </row>
    <row r="1551" spans="2:6" x14ac:dyDescent="0.2">
      <c r="B1551" s="129"/>
      <c r="C1551" s="129"/>
      <c r="D1551" s="129"/>
      <c r="E1551" s="129"/>
      <c r="F1551" s="129"/>
    </row>
    <row r="1552" spans="2:6" x14ac:dyDescent="0.2">
      <c r="B1552" s="129"/>
      <c r="C1552" s="129"/>
      <c r="D1552" s="129"/>
      <c r="E1552" s="129"/>
      <c r="F1552" s="129"/>
    </row>
    <row r="1553" spans="2:6" x14ac:dyDescent="0.2">
      <c r="B1553" s="129"/>
      <c r="C1553" s="129"/>
      <c r="D1553" s="129"/>
      <c r="E1553" s="129"/>
      <c r="F1553" s="129"/>
    </row>
    <row r="1554" spans="2:6" x14ac:dyDescent="0.2">
      <c r="B1554" s="129"/>
      <c r="C1554" s="129"/>
      <c r="D1554" s="129"/>
      <c r="E1554" s="129"/>
      <c r="F1554" s="129"/>
    </row>
    <row r="1555" spans="2:6" x14ac:dyDescent="0.2">
      <c r="B1555" s="129"/>
      <c r="C1555" s="129"/>
      <c r="D1555" s="129"/>
      <c r="E1555" s="129"/>
      <c r="F1555" s="129"/>
    </row>
    <row r="1556" spans="2:6" x14ac:dyDescent="0.2">
      <c r="B1556" s="129"/>
      <c r="C1556" s="129"/>
      <c r="D1556" s="129"/>
      <c r="E1556" s="129"/>
      <c r="F1556" s="129"/>
    </row>
    <row r="1557" spans="2:6" x14ac:dyDescent="0.2">
      <c r="B1557" s="129"/>
      <c r="C1557" s="129"/>
      <c r="D1557" s="129"/>
      <c r="E1557" s="129"/>
      <c r="F1557" s="129"/>
    </row>
    <row r="1558" spans="2:6" x14ac:dyDescent="0.2">
      <c r="B1558" s="129"/>
      <c r="C1558" s="129"/>
      <c r="D1558" s="129"/>
      <c r="E1558" s="129"/>
      <c r="F1558" s="129"/>
    </row>
    <row r="1559" spans="2:6" x14ac:dyDescent="0.2">
      <c r="B1559" s="129"/>
      <c r="C1559" s="129"/>
      <c r="D1559" s="129"/>
      <c r="E1559" s="129"/>
      <c r="F1559" s="129"/>
    </row>
    <row r="1560" spans="2:6" x14ac:dyDescent="0.2">
      <c r="B1560" s="129"/>
      <c r="C1560" s="129"/>
      <c r="D1560" s="129"/>
      <c r="E1560" s="129"/>
      <c r="F1560" s="129"/>
    </row>
    <row r="1561" spans="2:6" x14ac:dyDescent="0.2">
      <c r="B1561" s="129"/>
      <c r="C1561" s="129"/>
      <c r="D1561" s="129"/>
      <c r="E1561" s="129"/>
      <c r="F1561" s="129"/>
    </row>
    <row r="1562" spans="2:6" x14ac:dyDescent="0.2">
      <c r="B1562" s="129"/>
      <c r="C1562" s="129"/>
      <c r="D1562" s="129"/>
      <c r="E1562" s="129"/>
      <c r="F1562" s="129"/>
    </row>
    <row r="1563" spans="2:6" x14ac:dyDescent="0.2">
      <c r="B1563" s="129"/>
      <c r="C1563" s="129"/>
      <c r="D1563" s="129"/>
      <c r="E1563" s="129"/>
      <c r="F1563" s="129"/>
    </row>
    <row r="1564" spans="2:6" x14ac:dyDescent="0.2">
      <c r="B1564" s="129"/>
      <c r="C1564" s="129"/>
      <c r="D1564" s="129"/>
      <c r="E1564" s="129"/>
      <c r="F1564" s="129"/>
    </row>
    <row r="1565" spans="2:6" x14ac:dyDescent="0.2">
      <c r="B1565" s="129"/>
      <c r="C1565" s="129"/>
      <c r="D1565" s="129"/>
      <c r="E1565" s="129"/>
      <c r="F1565" s="129"/>
    </row>
    <row r="1566" spans="2:6" x14ac:dyDescent="0.2">
      <c r="B1566" s="129"/>
      <c r="C1566" s="129"/>
      <c r="D1566" s="129"/>
      <c r="E1566" s="129"/>
      <c r="F1566" s="129"/>
    </row>
    <row r="1567" spans="2:6" x14ac:dyDescent="0.2">
      <c r="B1567" s="129"/>
      <c r="C1567" s="129"/>
      <c r="D1567" s="129"/>
      <c r="E1567" s="129"/>
      <c r="F1567" s="129"/>
    </row>
    <row r="1568" spans="2:6" x14ac:dyDescent="0.2">
      <c r="B1568" s="129"/>
      <c r="C1568" s="129"/>
      <c r="D1568" s="129"/>
      <c r="E1568" s="129"/>
      <c r="F1568" s="129"/>
    </row>
    <row r="1569" spans="2:6" x14ac:dyDescent="0.2">
      <c r="B1569" s="129"/>
      <c r="C1569" s="129"/>
      <c r="D1569" s="129"/>
      <c r="E1569" s="129"/>
      <c r="F1569" s="129"/>
    </row>
    <row r="1570" spans="2:6" x14ac:dyDescent="0.2">
      <c r="B1570" s="129"/>
      <c r="C1570" s="129"/>
      <c r="D1570" s="129"/>
      <c r="E1570" s="129"/>
      <c r="F1570" s="129"/>
    </row>
    <row r="1571" spans="2:6" x14ac:dyDescent="0.2">
      <c r="B1571" s="129"/>
      <c r="C1571" s="129"/>
      <c r="D1571" s="129"/>
      <c r="E1571" s="129"/>
      <c r="F1571" s="129"/>
    </row>
    <row r="1572" spans="2:6" x14ac:dyDescent="0.2">
      <c r="B1572" s="129"/>
      <c r="C1572" s="129"/>
      <c r="D1572" s="129"/>
      <c r="E1572" s="129"/>
      <c r="F1572" s="129"/>
    </row>
    <row r="1573" spans="2:6" x14ac:dyDescent="0.2">
      <c r="B1573" s="129"/>
      <c r="C1573" s="129"/>
      <c r="D1573" s="129"/>
      <c r="E1573" s="129"/>
      <c r="F1573" s="129"/>
    </row>
    <row r="1574" spans="2:6" x14ac:dyDescent="0.2">
      <c r="B1574" s="129"/>
      <c r="C1574" s="129"/>
      <c r="D1574" s="129"/>
      <c r="E1574" s="129"/>
      <c r="F1574" s="129"/>
    </row>
    <row r="1575" spans="2:6" x14ac:dyDescent="0.2">
      <c r="B1575" s="129"/>
      <c r="C1575" s="129"/>
      <c r="D1575" s="129"/>
      <c r="E1575" s="129"/>
      <c r="F1575" s="129"/>
    </row>
    <row r="1576" spans="2:6" x14ac:dyDescent="0.2">
      <c r="B1576" s="129"/>
      <c r="C1576" s="129"/>
      <c r="D1576" s="129"/>
      <c r="E1576" s="129"/>
      <c r="F1576" s="129"/>
    </row>
    <row r="1577" spans="2:6" x14ac:dyDescent="0.2">
      <c r="B1577" s="129"/>
      <c r="C1577" s="129"/>
      <c r="D1577" s="129"/>
      <c r="E1577" s="129"/>
      <c r="F1577" s="129"/>
    </row>
    <row r="1578" spans="2:6" x14ac:dyDescent="0.2">
      <c r="B1578" s="129"/>
      <c r="C1578" s="129"/>
      <c r="D1578" s="129"/>
      <c r="E1578" s="129"/>
      <c r="F1578" s="129"/>
    </row>
    <row r="1579" spans="2:6" x14ac:dyDescent="0.2">
      <c r="B1579" s="129"/>
      <c r="C1579" s="129"/>
      <c r="D1579" s="129"/>
      <c r="E1579" s="129"/>
      <c r="F1579" s="129"/>
    </row>
    <row r="1580" spans="2:6" x14ac:dyDescent="0.2">
      <c r="B1580" s="129"/>
      <c r="C1580" s="129"/>
      <c r="D1580" s="129"/>
      <c r="E1580" s="129"/>
      <c r="F1580" s="129"/>
    </row>
    <row r="1581" spans="2:6" x14ac:dyDescent="0.2">
      <c r="B1581" s="129"/>
      <c r="C1581" s="129"/>
      <c r="D1581" s="129"/>
      <c r="E1581" s="129"/>
      <c r="F1581" s="129"/>
    </row>
    <row r="1582" spans="2:6" x14ac:dyDescent="0.2">
      <c r="B1582" s="129"/>
      <c r="C1582" s="129"/>
      <c r="D1582" s="129"/>
      <c r="E1582" s="129"/>
      <c r="F1582" s="129"/>
    </row>
    <row r="1583" spans="2:6" x14ac:dyDescent="0.2">
      <c r="B1583" s="129"/>
      <c r="C1583" s="129"/>
      <c r="D1583" s="129"/>
      <c r="E1583" s="129"/>
      <c r="F1583" s="129"/>
    </row>
    <row r="1584" spans="2:6" x14ac:dyDescent="0.2">
      <c r="B1584" s="129"/>
      <c r="C1584" s="129"/>
      <c r="D1584" s="129"/>
      <c r="E1584" s="129"/>
      <c r="F1584" s="129"/>
    </row>
    <row r="1585" spans="2:6" x14ac:dyDescent="0.2">
      <c r="B1585" s="129"/>
      <c r="C1585" s="129"/>
      <c r="D1585" s="129"/>
      <c r="E1585" s="129"/>
      <c r="F1585" s="129"/>
    </row>
    <row r="1586" spans="2:6" x14ac:dyDescent="0.2">
      <c r="B1586" s="129"/>
      <c r="C1586" s="129"/>
      <c r="D1586" s="129"/>
      <c r="E1586" s="129"/>
      <c r="F1586" s="129"/>
    </row>
    <row r="1587" spans="2:6" x14ac:dyDescent="0.2">
      <c r="B1587" s="129"/>
      <c r="C1587" s="129"/>
      <c r="D1587" s="129"/>
      <c r="E1587" s="129"/>
      <c r="F1587" s="129"/>
    </row>
    <row r="1588" spans="2:6" x14ac:dyDescent="0.2">
      <c r="B1588" s="129"/>
      <c r="C1588" s="129"/>
      <c r="D1588" s="129"/>
      <c r="E1588" s="129"/>
      <c r="F1588" s="129"/>
    </row>
    <row r="1589" spans="2:6" x14ac:dyDescent="0.2">
      <c r="B1589" s="129"/>
      <c r="C1589" s="129"/>
      <c r="D1589" s="129"/>
      <c r="E1589" s="129"/>
      <c r="F1589" s="129"/>
    </row>
    <row r="1590" spans="2:6" x14ac:dyDescent="0.2">
      <c r="B1590" s="129"/>
      <c r="C1590" s="129"/>
      <c r="D1590" s="129"/>
      <c r="E1590" s="129"/>
      <c r="F1590" s="129"/>
    </row>
    <row r="1591" spans="2:6" x14ac:dyDescent="0.2">
      <c r="B1591" s="129"/>
      <c r="C1591" s="129"/>
      <c r="D1591" s="129"/>
      <c r="E1591" s="129"/>
      <c r="F1591" s="129"/>
    </row>
    <row r="1592" spans="2:6" x14ac:dyDescent="0.2">
      <c r="B1592" s="129"/>
      <c r="C1592" s="129"/>
      <c r="D1592" s="129"/>
      <c r="E1592" s="129"/>
      <c r="F1592" s="129"/>
    </row>
    <row r="1593" spans="2:6" x14ac:dyDescent="0.2">
      <c r="B1593" s="129"/>
      <c r="C1593" s="129"/>
      <c r="D1593" s="129"/>
      <c r="E1593" s="129"/>
      <c r="F1593" s="129"/>
    </row>
    <row r="1594" spans="2:6" x14ac:dyDescent="0.2">
      <c r="B1594" s="129"/>
      <c r="C1594" s="129"/>
      <c r="D1594" s="129"/>
      <c r="E1594" s="129"/>
      <c r="F1594" s="129"/>
    </row>
    <row r="1595" spans="2:6" x14ac:dyDescent="0.2">
      <c r="B1595" s="129"/>
      <c r="C1595" s="129"/>
      <c r="D1595" s="129"/>
      <c r="E1595" s="129"/>
      <c r="F1595" s="129"/>
    </row>
    <row r="1596" spans="2:6" x14ac:dyDescent="0.2">
      <c r="B1596" s="129"/>
      <c r="C1596" s="129"/>
      <c r="D1596" s="129"/>
      <c r="E1596" s="129"/>
      <c r="F1596" s="129"/>
    </row>
    <row r="1597" spans="2:6" x14ac:dyDescent="0.2">
      <c r="B1597" s="129"/>
      <c r="C1597" s="129"/>
      <c r="D1597" s="129"/>
      <c r="E1597" s="129"/>
      <c r="F1597" s="129"/>
    </row>
    <row r="1598" spans="2:6" x14ac:dyDescent="0.2">
      <c r="B1598" s="129"/>
      <c r="C1598" s="129"/>
      <c r="D1598" s="129"/>
      <c r="E1598" s="129"/>
      <c r="F1598" s="129"/>
    </row>
    <row r="1599" spans="2:6" x14ac:dyDescent="0.2">
      <c r="B1599" s="129"/>
      <c r="C1599" s="129"/>
      <c r="D1599" s="129"/>
      <c r="E1599" s="129"/>
      <c r="F1599" s="129"/>
    </row>
    <row r="1600" spans="2:6" x14ac:dyDescent="0.2">
      <c r="B1600" s="129"/>
      <c r="C1600" s="129"/>
      <c r="D1600" s="129"/>
      <c r="E1600" s="129"/>
      <c r="F1600" s="129"/>
    </row>
    <row r="1601" spans="2:6" x14ac:dyDescent="0.2">
      <c r="B1601" s="129"/>
      <c r="C1601" s="129"/>
      <c r="D1601" s="129"/>
      <c r="E1601" s="129"/>
      <c r="F1601" s="129"/>
    </row>
    <row r="1602" spans="2:6" x14ac:dyDescent="0.2">
      <c r="B1602" s="129"/>
      <c r="C1602" s="129"/>
      <c r="D1602" s="129"/>
      <c r="E1602" s="129"/>
      <c r="F1602" s="129"/>
    </row>
    <row r="1603" spans="2:6" x14ac:dyDescent="0.2">
      <c r="B1603" s="129"/>
      <c r="C1603" s="129"/>
      <c r="D1603" s="129"/>
      <c r="E1603" s="129"/>
      <c r="F1603" s="129"/>
    </row>
    <row r="1604" spans="2:6" x14ac:dyDescent="0.2">
      <c r="B1604" s="129"/>
      <c r="C1604" s="129"/>
      <c r="D1604" s="129"/>
      <c r="E1604" s="129"/>
      <c r="F1604" s="129"/>
    </row>
    <row r="1605" spans="2:6" x14ac:dyDescent="0.2">
      <c r="B1605" s="129"/>
      <c r="C1605" s="129"/>
      <c r="D1605" s="129"/>
      <c r="E1605" s="129"/>
      <c r="F1605" s="129"/>
    </row>
    <row r="1606" spans="2:6" x14ac:dyDescent="0.2">
      <c r="B1606" s="129"/>
      <c r="C1606" s="129"/>
      <c r="D1606" s="129"/>
      <c r="E1606" s="129"/>
      <c r="F1606" s="129"/>
    </row>
    <row r="1607" spans="2:6" x14ac:dyDescent="0.2">
      <c r="B1607" s="129"/>
      <c r="C1607" s="129"/>
      <c r="D1607" s="129"/>
      <c r="E1607" s="129"/>
      <c r="F1607" s="129"/>
    </row>
    <row r="1608" spans="2:6" x14ac:dyDescent="0.2">
      <c r="B1608" s="129"/>
      <c r="C1608" s="129"/>
      <c r="D1608" s="129"/>
      <c r="E1608" s="129"/>
      <c r="F1608" s="129"/>
    </row>
    <row r="1609" spans="2:6" x14ac:dyDescent="0.2">
      <c r="B1609" s="129"/>
      <c r="C1609" s="129"/>
      <c r="D1609" s="129"/>
      <c r="E1609" s="129"/>
      <c r="F1609" s="129"/>
    </row>
    <row r="1610" spans="2:6" x14ac:dyDescent="0.2">
      <c r="B1610" s="129"/>
      <c r="C1610" s="129"/>
      <c r="D1610" s="129"/>
      <c r="E1610" s="129"/>
      <c r="F1610" s="129"/>
    </row>
    <row r="1611" spans="2:6" x14ac:dyDescent="0.2">
      <c r="B1611" s="129"/>
      <c r="C1611" s="129"/>
      <c r="D1611" s="129"/>
      <c r="E1611" s="129"/>
      <c r="F1611" s="129"/>
    </row>
    <row r="1612" spans="2:6" x14ac:dyDescent="0.2">
      <c r="B1612" s="129"/>
      <c r="C1612" s="129"/>
      <c r="D1612" s="129"/>
      <c r="E1612" s="129"/>
      <c r="F1612" s="129"/>
    </row>
    <row r="1613" spans="2:6" x14ac:dyDescent="0.2">
      <c r="B1613" s="129"/>
      <c r="C1613" s="129"/>
      <c r="D1613" s="129"/>
      <c r="E1613" s="129"/>
      <c r="F1613" s="129"/>
    </row>
    <row r="1614" spans="2:6" x14ac:dyDescent="0.2">
      <c r="B1614" s="129"/>
      <c r="C1614" s="129"/>
      <c r="D1614" s="129"/>
      <c r="E1614" s="129"/>
      <c r="F1614" s="129"/>
    </row>
    <row r="1615" spans="2:6" x14ac:dyDescent="0.2">
      <c r="B1615" s="129"/>
      <c r="C1615" s="129"/>
      <c r="D1615" s="129"/>
      <c r="E1615" s="129"/>
      <c r="F1615" s="129"/>
    </row>
    <row r="1616" spans="2:6" x14ac:dyDescent="0.2">
      <c r="B1616" s="129"/>
      <c r="C1616" s="129"/>
      <c r="D1616" s="129"/>
      <c r="E1616" s="129"/>
      <c r="F1616" s="129"/>
    </row>
    <row r="1617" spans="2:6" x14ac:dyDescent="0.2">
      <c r="B1617" s="129"/>
      <c r="C1617" s="129"/>
      <c r="D1617" s="129"/>
      <c r="E1617" s="129"/>
      <c r="F1617" s="129"/>
    </row>
    <row r="1618" spans="2:6" x14ac:dyDescent="0.2">
      <c r="B1618" s="129"/>
      <c r="C1618" s="129"/>
      <c r="D1618" s="129"/>
      <c r="E1618" s="129"/>
      <c r="F1618" s="129"/>
    </row>
    <row r="1619" spans="2:6" x14ac:dyDescent="0.2">
      <c r="B1619" s="129"/>
      <c r="C1619" s="129"/>
      <c r="D1619" s="129"/>
      <c r="E1619" s="129"/>
      <c r="F1619" s="129"/>
    </row>
    <row r="1620" spans="2:6" x14ac:dyDescent="0.2">
      <c r="B1620" s="129"/>
      <c r="C1620" s="129"/>
      <c r="D1620" s="129"/>
      <c r="E1620" s="129"/>
      <c r="F1620" s="129"/>
    </row>
    <row r="1621" spans="2:6" x14ac:dyDescent="0.2">
      <c r="B1621" s="129"/>
      <c r="C1621" s="129"/>
      <c r="D1621" s="129"/>
      <c r="E1621" s="129"/>
      <c r="F1621" s="129"/>
    </row>
    <row r="1622" spans="2:6" x14ac:dyDescent="0.2">
      <c r="B1622" s="129"/>
      <c r="C1622" s="129"/>
      <c r="D1622" s="129"/>
      <c r="E1622" s="129"/>
      <c r="F1622" s="129"/>
    </row>
    <row r="1623" spans="2:6" x14ac:dyDescent="0.2">
      <c r="B1623" s="129"/>
      <c r="C1623" s="129"/>
      <c r="D1623" s="129"/>
      <c r="E1623" s="129"/>
      <c r="F1623" s="129"/>
    </row>
    <row r="1624" spans="2:6" x14ac:dyDescent="0.2">
      <c r="B1624" s="129"/>
      <c r="C1624" s="129"/>
      <c r="D1624" s="129"/>
      <c r="E1624" s="129"/>
      <c r="F1624" s="129"/>
    </row>
    <row r="1625" spans="2:6" x14ac:dyDescent="0.2">
      <c r="B1625" s="129"/>
      <c r="C1625" s="129"/>
      <c r="D1625" s="129"/>
      <c r="E1625" s="129"/>
      <c r="F1625" s="129"/>
    </row>
    <row r="1626" spans="2:6" x14ac:dyDescent="0.2">
      <c r="B1626" s="129"/>
      <c r="C1626" s="129"/>
      <c r="D1626" s="129"/>
      <c r="E1626" s="129"/>
      <c r="F1626" s="129"/>
    </row>
    <row r="1627" spans="2:6" x14ac:dyDescent="0.2">
      <c r="B1627" s="129"/>
      <c r="C1627" s="129"/>
      <c r="D1627" s="129"/>
      <c r="E1627" s="129"/>
      <c r="F1627" s="129"/>
    </row>
    <row r="1628" spans="2:6" x14ac:dyDescent="0.2">
      <c r="B1628" s="129"/>
      <c r="C1628" s="129"/>
      <c r="D1628" s="129"/>
      <c r="E1628" s="129"/>
      <c r="F1628" s="129"/>
    </row>
    <row r="1629" spans="2:6" x14ac:dyDescent="0.2">
      <c r="B1629" s="129"/>
      <c r="C1629" s="129"/>
      <c r="D1629" s="129"/>
      <c r="E1629" s="129"/>
      <c r="F1629" s="129"/>
    </row>
    <row r="1630" spans="2:6" x14ac:dyDescent="0.2">
      <c r="B1630" s="129"/>
      <c r="C1630" s="129"/>
      <c r="D1630" s="129"/>
      <c r="E1630" s="129"/>
      <c r="F1630" s="129"/>
    </row>
    <row r="1631" spans="2:6" x14ac:dyDescent="0.2">
      <c r="B1631" s="129"/>
      <c r="C1631" s="129"/>
      <c r="D1631" s="129"/>
      <c r="E1631" s="129"/>
      <c r="F1631" s="129"/>
    </row>
    <row r="1632" spans="2:6" x14ac:dyDescent="0.2">
      <c r="B1632" s="129"/>
      <c r="C1632" s="129"/>
      <c r="D1632" s="129"/>
      <c r="E1632" s="129"/>
      <c r="F1632" s="129"/>
    </row>
    <row r="1633" spans="2:6" x14ac:dyDescent="0.2">
      <c r="B1633" s="129"/>
      <c r="C1633" s="129"/>
      <c r="D1633" s="129"/>
      <c r="E1633" s="129"/>
      <c r="F1633" s="129"/>
    </row>
    <row r="1634" spans="2:6" x14ac:dyDescent="0.2">
      <c r="B1634" s="129"/>
      <c r="C1634" s="129"/>
      <c r="D1634" s="129"/>
      <c r="E1634" s="129"/>
      <c r="F1634" s="129"/>
    </row>
    <row r="1635" spans="2:6" x14ac:dyDescent="0.2">
      <c r="B1635" s="129"/>
      <c r="C1635" s="129"/>
      <c r="D1635" s="129"/>
      <c r="E1635" s="129"/>
      <c r="F1635" s="129"/>
    </row>
    <row r="1636" spans="2:6" x14ac:dyDescent="0.2">
      <c r="B1636" s="129"/>
      <c r="C1636" s="129"/>
      <c r="D1636" s="129"/>
      <c r="E1636" s="129"/>
      <c r="F1636" s="129"/>
    </row>
    <row r="1637" spans="2:6" x14ac:dyDescent="0.2">
      <c r="B1637" s="129"/>
      <c r="C1637" s="129"/>
      <c r="D1637" s="129"/>
      <c r="E1637" s="129"/>
      <c r="F1637" s="129"/>
    </row>
    <row r="1638" spans="2:6" x14ac:dyDescent="0.2">
      <c r="B1638" s="129"/>
      <c r="C1638" s="129"/>
      <c r="D1638" s="129"/>
      <c r="E1638" s="129"/>
      <c r="F1638" s="129"/>
    </row>
    <row r="1639" spans="2:6" x14ac:dyDescent="0.2">
      <c r="B1639" s="129"/>
      <c r="C1639" s="129"/>
      <c r="D1639" s="129"/>
      <c r="E1639" s="129"/>
      <c r="F1639" s="129"/>
    </row>
    <row r="1640" spans="2:6" x14ac:dyDescent="0.2">
      <c r="B1640" s="129"/>
      <c r="C1640" s="129"/>
      <c r="D1640" s="129"/>
      <c r="E1640" s="129"/>
      <c r="F1640" s="129"/>
    </row>
    <row r="1641" spans="2:6" x14ac:dyDescent="0.2">
      <c r="B1641" s="129"/>
      <c r="C1641" s="129"/>
      <c r="D1641" s="129"/>
      <c r="E1641" s="129"/>
      <c r="F1641" s="129"/>
    </row>
    <row r="1642" spans="2:6" x14ac:dyDescent="0.2">
      <c r="B1642" s="129"/>
      <c r="C1642" s="129"/>
      <c r="D1642" s="129"/>
      <c r="E1642" s="129"/>
      <c r="F1642" s="129"/>
    </row>
    <row r="1643" spans="2:6" x14ac:dyDescent="0.2">
      <c r="B1643" s="129"/>
      <c r="C1643" s="129"/>
      <c r="D1643" s="129"/>
      <c r="E1643" s="129"/>
      <c r="F1643" s="129"/>
    </row>
    <row r="1644" spans="2:6" x14ac:dyDescent="0.2">
      <c r="B1644" s="129"/>
      <c r="C1644" s="129"/>
      <c r="D1644" s="129"/>
      <c r="E1644" s="129"/>
      <c r="F1644" s="129"/>
    </row>
    <row r="1645" spans="2:6" x14ac:dyDescent="0.2">
      <c r="B1645" s="129"/>
      <c r="C1645" s="129"/>
      <c r="D1645" s="129"/>
      <c r="E1645" s="129"/>
      <c r="F1645" s="129"/>
    </row>
    <row r="1646" spans="2:6" x14ac:dyDescent="0.2">
      <c r="B1646" s="129"/>
      <c r="C1646" s="129"/>
      <c r="D1646" s="129"/>
      <c r="E1646" s="129"/>
      <c r="F1646" s="129"/>
    </row>
    <row r="1647" spans="2:6" x14ac:dyDescent="0.2">
      <c r="B1647" s="129"/>
      <c r="C1647" s="129"/>
      <c r="D1647" s="129"/>
      <c r="E1647" s="129"/>
      <c r="F1647" s="129"/>
    </row>
    <row r="1648" spans="2:6" x14ac:dyDescent="0.2">
      <c r="B1648" s="129"/>
      <c r="C1648" s="129"/>
      <c r="D1648" s="129"/>
      <c r="E1648" s="129"/>
      <c r="F1648" s="129"/>
    </row>
    <row r="1649" spans="2:6" x14ac:dyDescent="0.2">
      <c r="B1649" s="129"/>
      <c r="C1649" s="129"/>
      <c r="D1649" s="129"/>
      <c r="E1649" s="129"/>
      <c r="F1649" s="129"/>
    </row>
    <row r="1650" spans="2:6" x14ac:dyDescent="0.2">
      <c r="B1650" s="129"/>
      <c r="C1650" s="129"/>
      <c r="D1650" s="129"/>
      <c r="E1650" s="129"/>
      <c r="F1650" s="129"/>
    </row>
    <row r="1651" spans="2:6" x14ac:dyDescent="0.2">
      <c r="B1651" s="129"/>
      <c r="C1651" s="129"/>
      <c r="D1651" s="129"/>
      <c r="E1651" s="129"/>
      <c r="F1651" s="129"/>
    </row>
    <row r="1652" spans="2:6" x14ac:dyDescent="0.2">
      <c r="B1652" s="129"/>
      <c r="C1652" s="129"/>
      <c r="D1652" s="129"/>
      <c r="E1652" s="129"/>
      <c r="F1652" s="129"/>
    </row>
    <row r="1653" spans="2:6" x14ac:dyDescent="0.2">
      <c r="B1653" s="129"/>
      <c r="C1653" s="129"/>
      <c r="D1653" s="129"/>
      <c r="E1653" s="129"/>
      <c r="F1653" s="129"/>
    </row>
    <row r="1654" spans="2:6" x14ac:dyDescent="0.2">
      <c r="B1654" s="129"/>
      <c r="C1654" s="129"/>
      <c r="D1654" s="129"/>
      <c r="E1654" s="129"/>
      <c r="F1654" s="129"/>
    </row>
    <row r="1655" spans="2:6" x14ac:dyDescent="0.2">
      <c r="B1655" s="129"/>
      <c r="C1655" s="129"/>
      <c r="D1655" s="129"/>
      <c r="E1655" s="129"/>
      <c r="F1655" s="129"/>
    </row>
    <row r="1656" spans="2:6" x14ac:dyDescent="0.2">
      <c r="B1656" s="129"/>
      <c r="C1656" s="129"/>
      <c r="D1656" s="129"/>
      <c r="E1656" s="129"/>
      <c r="F1656" s="129"/>
    </row>
    <row r="1657" spans="2:6" x14ac:dyDescent="0.2">
      <c r="B1657" s="129"/>
      <c r="C1657" s="129"/>
      <c r="D1657" s="129"/>
      <c r="E1657" s="129"/>
      <c r="F1657" s="129"/>
    </row>
    <row r="1658" spans="2:6" x14ac:dyDescent="0.2">
      <c r="B1658" s="129"/>
      <c r="C1658" s="129"/>
      <c r="D1658" s="129"/>
      <c r="E1658" s="129"/>
      <c r="F1658" s="129"/>
    </row>
    <row r="1659" spans="2:6" x14ac:dyDescent="0.2">
      <c r="B1659" s="129"/>
      <c r="C1659" s="129"/>
      <c r="D1659" s="129"/>
      <c r="E1659" s="129"/>
      <c r="F1659" s="129"/>
    </row>
    <row r="1660" spans="2:6" x14ac:dyDescent="0.2">
      <c r="B1660" s="129"/>
      <c r="C1660" s="129"/>
      <c r="D1660" s="129"/>
      <c r="E1660" s="129"/>
      <c r="F1660" s="129"/>
    </row>
    <row r="1661" spans="2:6" x14ac:dyDescent="0.2">
      <c r="B1661" s="129"/>
      <c r="C1661" s="129"/>
      <c r="D1661" s="129"/>
      <c r="E1661" s="129"/>
      <c r="F1661" s="129"/>
    </row>
    <row r="1662" spans="2:6" x14ac:dyDescent="0.2">
      <c r="B1662" s="129"/>
      <c r="C1662" s="129"/>
      <c r="D1662" s="129"/>
      <c r="E1662" s="129"/>
      <c r="F1662" s="129"/>
    </row>
    <row r="1663" spans="2:6" x14ac:dyDescent="0.2">
      <c r="B1663" s="129"/>
      <c r="C1663" s="129"/>
      <c r="D1663" s="129"/>
      <c r="E1663" s="129"/>
      <c r="F1663" s="129"/>
    </row>
    <row r="1664" spans="2:6" x14ac:dyDescent="0.2">
      <c r="B1664" s="129"/>
      <c r="C1664" s="129"/>
      <c r="D1664" s="129"/>
      <c r="E1664" s="129"/>
      <c r="F1664" s="129"/>
    </row>
    <row r="1665" spans="2:6" x14ac:dyDescent="0.2">
      <c r="B1665" s="129"/>
      <c r="C1665" s="129"/>
      <c r="D1665" s="129"/>
      <c r="E1665" s="129"/>
      <c r="F1665" s="129"/>
    </row>
    <row r="1666" spans="2:6" x14ac:dyDescent="0.2">
      <c r="B1666" s="129"/>
      <c r="C1666" s="129"/>
      <c r="D1666" s="129"/>
      <c r="E1666" s="129"/>
      <c r="F1666" s="129"/>
    </row>
    <row r="1667" spans="2:6" x14ac:dyDescent="0.2">
      <c r="B1667" s="129"/>
      <c r="C1667" s="129"/>
      <c r="D1667" s="129"/>
      <c r="E1667" s="129"/>
      <c r="F1667" s="129"/>
    </row>
    <row r="1668" spans="2:6" x14ac:dyDescent="0.2">
      <c r="B1668" s="129"/>
      <c r="C1668" s="129"/>
      <c r="D1668" s="129"/>
      <c r="E1668" s="129"/>
      <c r="F1668" s="129"/>
    </row>
    <row r="1669" spans="2:6" x14ac:dyDescent="0.2">
      <c r="B1669" s="129"/>
      <c r="C1669" s="129"/>
      <c r="D1669" s="129"/>
      <c r="E1669" s="129"/>
      <c r="F1669" s="129"/>
    </row>
    <row r="1670" spans="2:6" x14ac:dyDescent="0.2">
      <c r="B1670" s="129"/>
      <c r="C1670" s="129"/>
      <c r="D1670" s="129"/>
      <c r="E1670" s="129"/>
      <c r="F1670" s="129"/>
    </row>
    <row r="1671" spans="2:6" x14ac:dyDescent="0.2">
      <c r="B1671" s="129"/>
      <c r="C1671" s="129"/>
      <c r="D1671" s="129"/>
      <c r="E1671" s="129"/>
      <c r="F1671" s="129"/>
    </row>
    <row r="1672" spans="2:6" x14ac:dyDescent="0.2">
      <c r="B1672" s="129"/>
      <c r="C1672" s="129"/>
      <c r="D1672" s="129"/>
      <c r="E1672" s="129"/>
      <c r="F1672" s="129"/>
    </row>
    <row r="1673" spans="2:6" x14ac:dyDescent="0.2">
      <c r="B1673" s="129"/>
      <c r="C1673" s="129"/>
      <c r="D1673" s="129"/>
      <c r="E1673" s="129"/>
      <c r="F1673" s="129"/>
    </row>
    <row r="1674" spans="2:6" x14ac:dyDescent="0.2">
      <c r="B1674" s="129"/>
      <c r="C1674" s="129"/>
      <c r="D1674" s="129"/>
      <c r="E1674" s="129"/>
      <c r="F1674" s="129"/>
    </row>
    <row r="1675" spans="2:6" x14ac:dyDescent="0.2">
      <c r="B1675" s="129"/>
      <c r="C1675" s="129"/>
      <c r="D1675" s="129"/>
      <c r="E1675" s="129"/>
      <c r="F1675" s="129"/>
    </row>
    <row r="1676" spans="2:6" x14ac:dyDescent="0.2">
      <c r="B1676" s="129"/>
      <c r="C1676" s="129"/>
      <c r="D1676" s="129"/>
      <c r="E1676" s="129"/>
      <c r="F1676" s="129"/>
    </row>
    <row r="1677" spans="2:6" x14ac:dyDescent="0.2">
      <c r="B1677" s="129"/>
      <c r="C1677" s="129"/>
      <c r="D1677" s="129"/>
      <c r="E1677" s="129"/>
      <c r="F1677" s="129"/>
    </row>
    <row r="1678" spans="2:6" x14ac:dyDescent="0.2">
      <c r="B1678" s="129"/>
      <c r="C1678" s="129"/>
      <c r="D1678" s="129"/>
      <c r="E1678" s="129"/>
      <c r="F1678" s="129"/>
    </row>
    <row r="1679" spans="2:6" x14ac:dyDescent="0.2">
      <c r="B1679" s="129"/>
      <c r="C1679" s="129"/>
      <c r="D1679" s="129"/>
      <c r="E1679" s="129"/>
      <c r="F1679" s="129"/>
    </row>
    <row r="1680" spans="2:6" x14ac:dyDescent="0.2">
      <c r="B1680" s="129"/>
      <c r="C1680" s="129"/>
      <c r="D1680" s="129"/>
      <c r="E1680" s="129"/>
      <c r="F1680" s="129"/>
    </row>
    <row r="1681" spans="2:6" x14ac:dyDescent="0.2">
      <c r="B1681" s="129"/>
      <c r="C1681" s="129"/>
      <c r="D1681" s="129"/>
      <c r="E1681" s="129"/>
      <c r="F1681" s="129"/>
    </row>
    <row r="1682" spans="2:6" x14ac:dyDescent="0.2">
      <c r="B1682" s="129"/>
      <c r="C1682" s="129"/>
      <c r="D1682" s="129"/>
      <c r="E1682" s="129"/>
      <c r="F1682" s="129"/>
    </row>
    <row r="1683" spans="2:6" x14ac:dyDescent="0.2">
      <c r="B1683" s="129"/>
      <c r="C1683" s="129"/>
      <c r="D1683" s="129"/>
      <c r="E1683" s="129"/>
      <c r="F1683" s="129"/>
    </row>
    <row r="1684" spans="2:6" x14ac:dyDescent="0.2">
      <c r="B1684" s="129"/>
      <c r="C1684" s="129"/>
      <c r="D1684" s="129"/>
      <c r="E1684" s="129"/>
      <c r="F1684" s="129"/>
    </row>
    <row r="1685" spans="2:6" x14ac:dyDescent="0.2">
      <c r="B1685" s="129"/>
      <c r="C1685" s="129"/>
      <c r="D1685" s="129"/>
      <c r="E1685" s="129"/>
      <c r="F1685" s="129"/>
    </row>
    <row r="1686" spans="2:6" x14ac:dyDescent="0.2">
      <c r="B1686" s="129"/>
      <c r="C1686" s="129"/>
      <c r="D1686" s="129"/>
      <c r="E1686" s="129"/>
      <c r="F1686" s="129"/>
    </row>
    <row r="1687" spans="2:6" x14ac:dyDescent="0.2">
      <c r="B1687" s="129"/>
      <c r="C1687" s="129"/>
      <c r="D1687" s="129"/>
      <c r="E1687" s="129"/>
      <c r="F1687" s="129"/>
    </row>
    <row r="1688" spans="2:6" x14ac:dyDescent="0.2">
      <c r="B1688" s="129"/>
      <c r="C1688" s="129"/>
      <c r="D1688" s="129"/>
      <c r="E1688" s="129"/>
      <c r="F1688" s="129"/>
    </row>
    <row r="1689" spans="2:6" x14ac:dyDescent="0.2">
      <c r="B1689" s="129"/>
      <c r="C1689" s="129"/>
      <c r="D1689" s="129"/>
      <c r="E1689" s="129"/>
      <c r="F1689" s="129"/>
    </row>
    <row r="1690" spans="2:6" x14ac:dyDescent="0.2">
      <c r="B1690" s="129"/>
      <c r="C1690" s="129"/>
      <c r="D1690" s="129"/>
      <c r="E1690" s="129"/>
      <c r="F1690" s="129"/>
    </row>
    <row r="1691" spans="2:6" x14ac:dyDescent="0.2">
      <c r="B1691" s="129"/>
      <c r="C1691" s="129"/>
      <c r="D1691" s="129"/>
      <c r="E1691" s="129"/>
      <c r="F1691" s="129"/>
    </row>
    <row r="1692" spans="2:6" x14ac:dyDescent="0.2">
      <c r="B1692" s="129"/>
      <c r="C1692" s="129"/>
      <c r="D1692" s="129"/>
      <c r="E1692" s="129"/>
      <c r="F1692" s="129"/>
    </row>
    <row r="1693" spans="2:6" x14ac:dyDescent="0.2">
      <c r="B1693" s="129"/>
      <c r="C1693" s="129"/>
      <c r="D1693" s="129"/>
      <c r="E1693" s="129"/>
      <c r="F1693" s="129"/>
    </row>
    <row r="1694" spans="2:6" x14ac:dyDescent="0.2">
      <c r="B1694" s="129"/>
      <c r="C1694" s="129"/>
      <c r="D1694" s="129"/>
      <c r="E1694" s="129"/>
      <c r="F1694" s="129"/>
    </row>
    <row r="1695" spans="2:6" x14ac:dyDescent="0.2">
      <c r="B1695" s="129"/>
      <c r="C1695" s="129"/>
      <c r="D1695" s="129"/>
      <c r="E1695" s="129"/>
      <c r="F1695" s="129"/>
    </row>
    <row r="1696" spans="2:6" x14ac:dyDescent="0.2">
      <c r="B1696" s="129"/>
      <c r="C1696" s="129"/>
      <c r="D1696" s="129"/>
      <c r="E1696" s="129"/>
      <c r="F1696" s="129"/>
    </row>
    <row r="1697" spans="2:6" x14ac:dyDescent="0.2">
      <c r="B1697" s="129"/>
      <c r="C1697" s="129"/>
      <c r="D1697" s="129"/>
      <c r="E1697" s="129"/>
      <c r="F1697" s="129"/>
    </row>
    <row r="1698" spans="2:6" x14ac:dyDescent="0.2">
      <c r="B1698" s="129"/>
      <c r="C1698" s="129"/>
      <c r="D1698" s="129"/>
      <c r="E1698" s="129"/>
      <c r="F1698" s="129"/>
    </row>
    <row r="1699" spans="2:6" x14ac:dyDescent="0.2">
      <c r="B1699" s="129"/>
      <c r="C1699" s="129"/>
      <c r="D1699" s="129"/>
      <c r="E1699" s="129"/>
      <c r="F1699" s="129"/>
    </row>
    <row r="1700" spans="2:6" x14ac:dyDescent="0.2">
      <c r="B1700" s="129"/>
      <c r="C1700" s="129"/>
      <c r="D1700" s="129"/>
      <c r="E1700" s="129"/>
      <c r="F1700" s="129"/>
    </row>
    <row r="1701" spans="2:6" x14ac:dyDescent="0.2">
      <c r="B1701" s="129"/>
      <c r="C1701" s="129"/>
      <c r="D1701" s="129"/>
      <c r="E1701" s="129"/>
      <c r="F1701" s="129"/>
    </row>
    <row r="1702" spans="2:6" x14ac:dyDescent="0.2">
      <c r="B1702" s="129"/>
      <c r="C1702" s="129"/>
      <c r="D1702" s="129"/>
      <c r="E1702" s="129"/>
      <c r="F1702" s="129"/>
    </row>
    <row r="1703" spans="2:6" x14ac:dyDescent="0.2">
      <c r="B1703" s="129"/>
      <c r="C1703" s="129"/>
      <c r="D1703" s="129"/>
      <c r="E1703" s="129"/>
      <c r="F1703" s="129"/>
    </row>
    <row r="1704" spans="2:6" x14ac:dyDescent="0.2">
      <c r="B1704" s="129"/>
      <c r="C1704" s="129"/>
      <c r="D1704" s="129"/>
      <c r="E1704" s="129"/>
      <c r="F1704" s="129"/>
    </row>
    <row r="1705" spans="2:6" x14ac:dyDescent="0.2">
      <c r="B1705" s="129"/>
      <c r="C1705" s="129"/>
      <c r="D1705" s="129"/>
      <c r="E1705" s="129"/>
      <c r="F1705" s="129"/>
    </row>
    <row r="1706" spans="2:6" x14ac:dyDescent="0.2">
      <c r="B1706" s="129"/>
      <c r="C1706" s="129"/>
      <c r="D1706" s="129"/>
      <c r="E1706" s="129"/>
      <c r="F1706" s="129"/>
    </row>
    <row r="1707" spans="2:6" x14ac:dyDescent="0.2">
      <c r="B1707" s="129"/>
      <c r="C1707" s="129"/>
      <c r="D1707" s="129"/>
      <c r="E1707" s="129"/>
      <c r="F1707" s="129"/>
    </row>
    <row r="1708" spans="2:6" x14ac:dyDescent="0.2">
      <c r="B1708" s="129"/>
      <c r="C1708" s="129"/>
      <c r="D1708" s="129"/>
      <c r="E1708" s="129"/>
      <c r="F1708" s="129"/>
    </row>
    <row r="1709" spans="2:6" x14ac:dyDescent="0.2">
      <c r="B1709" s="129"/>
      <c r="C1709" s="129"/>
      <c r="D1709" s="129"/>
      <c r="E1709" s="129"/>
      <c r="F1709" s="129"/>
    </row>
    <row r="1710" spans="2:6" x14ac:dyDescent="0.2">
      <c r="B1710" s="129"/>
      <c r="C1710" s="129"/>
      <c r="D1710" s="129"/>
      <c r="E1710" s="129"/>
      <c r="F1710" s="129"/>
    </row>
    <row r="1711" spans="2:6" x14ac:dyDescent="0.2">
      <c r="B1711" s="129"/>
      <c r="C1711" s="129"/>
      <c r="D1711" s="129"/>
      <c r="E1711" s="129"/>
      <c r="F1711" s="129"/>
    </row>
    <row r="1712" spans="2:6" x14ac:dyDescent="0.2">
      <c r="B1712" s="129"/>
      <c r="C1712" s="129"/>
      <c r="D1712" s="129"/>
      <c r="E1712" s="129"/>
      <c r="F1712" s="129"/>
    </row>
    <row r="1713" spans="2:6" x14ac:dyDescent="0.2">
      <c r="B1713" s="129"/>
      <c r="C1713" s="129"/>
      <c r="D1713" s="129"/>
      <c r="E1713" s="129"/>
      <c r="F1713" s="129"/>
    </row>
    <row r="1714" spans="2:6" x14ac:dyDescent="0.2">
      <c r="B1714" s="129"/>
      <c r="C1714" s="129"/>
      <c r="D1714" s="129"/>
      <c r="E1714" s="129"/>
      <c r="F1714" s="129"/>
    </row>
    <row r="1715" spans="2:6" x14ac:dyDescent="0.2">
      <c r="B1715" s="129"/>
      <c r="C1715" s="129"/>
      <c r="D1715" s="129"/>
      <c r="E1715" s="129"/>
      <c r="F1715" s="129"/>
    </row>
    <row r="1716" spans="2:6" x14ac:dyDescent="0.2">
      <c r="B1716" s="129"/>
      <c r="C1716" s="129"/>
      <c r="D1716" s="129"/>
      <c r="E1716" s="129"/>
      <c r="F1716" s="129"/>
    </row>
    <row r="1717" spans="2:6" x14ac:dyDescent="0.2">
      <c r="B1717" s="129"/>
      <c r="C1717" s="129"/>
      <c r="D1717" s="129"/>
      <c r="E1717" s="129"/>
      <c r="F1717" s="129"/>
    </row>
    <row r="1718" spans="2:6" x14ac:dyDescent="0.2">
      <c r="B1718" s="129"/>
      <c r="C1718" s="129"/>
      <c r="D1718" s="129"/>
      <c r="E1718" s="129"/>
      <c r="F1718" s="129"/>
    </row>
    <row r="1719" spans="2:6" x14ac:dyDescent="0.2">
      <c r="B1719" s="129"/>
      <c r="C1719" s="129"/>
      <c r="D1719" s="129"/>
      <c r="E1719" s="129"/>
      <c r="F1719" s="129"/>
    </row>
    <row r="1720" spans="2:6" x14ac:dyDescent="0.2">
      <c r="B1720" s="129"/>
      <c r="C1720" s="129"/>
      <c r="D1720" s="129"/>
      <c r="E1720" s="129"/>
      <c r="F1720" s="129"/>
    </row>
    <row r="1721" spans="2:6" x14ac:dyDescent="0.2">
      <c r="B1721" s="129"/>
      <c r="C1721" s="129"/>
      <c r="D1721" s="129"/>
      <c r="E1721" s="129"/>
      <c r="F1721" s="129"/>
    </row>
    <row r="1722" spans="2:6" x14ac:dyDescent="0.2">
      <c r="B1722" s="129"/>
      <c r="C1722" s="129"/>
      <c r="D1722" s="129"/>
      <c r="E1722" s="129"/>
      <c r="F1722" s="129"/>
    </row>
    <row r="1723" spans="2:6" x14ac:dyDescent="0.2">
      <c r="B1723" s="129"/>
      <c r="C1723" s="129"/>
      <c r="D1723" s="129"/>
      <c r="E1723" s="129"/>
      <c r="F1723" s="129"/>
    </row>
    <row r="1724" spans="2:6" x14ac:dyDescent="0.2">
      <c r="B1724" s="129"/>
      <c r="C1724" s="129"/>
      <c r="D1724" s="129"/>
      <c r="E1724" s="129"/>
      <c r="F1724" s="129"/>
    </row>
    <row r="1725" spans="2:6" x14ac:dyDescent="0.2">
      <c r="B1725" s="129"/>
      <c r="C1725" s="129"/>
      <c r="D1725" s="129"/>
      <c r="E1725" s="129"/>
      <c r="F1725" s="129"/>
    </row>
    <row r="1726" spans="2:6" x14ac:dyDescent="0.2">
      <c r="B1726" s="129"/>
      <c r="C1726" s="129"/>
      <c r="D1726" s="129"/>
      <c r="E1726" s="129"/>
      <c r="F1726" s="129"/>
    </row>
    <row r="1727" spans="2:6" x14ac:dyDescent="0.2">
      <c r="B1727" s="129"/>
      <c r="C1727" s="129"/>
      <c r="D1727" s="129"/>
      <c r="E1727" s="129"/>
      <c r="F1727" s="129"/>
    </row>
    <row r="1728" spans="2:6" x14ac:dyDescent="0.2">
      <c r="B1728" s="129"/>
      <c r="C1728" s="129"/>
      <c r="D1728" s="129"/>
      <c r="E1728" s="129"/>
      <c r="F1728" s="129"/>
    </row>
    <row r="1729" spans="2:6" x14ac:dyDescent="0.2">
      <c r="B1729" s="129"/>
      <c r="C1729" s="129"/>
      <c r="D1729" s="129"/>
      <c r="E1729" s="129"/>
      <c r="F1729" s="129"/>
    </row>
    <row r="1730" spans="2:6" x14ac:dyDescent="0.2">
      <c r="B1730" s="129"/>
      <c r="C1730" s="129"/>
      <c r="D1730" s="129"/>
      <c r="E1730" s="129"/>
      <c r="F1730" s="129"/>
    </row>
    <row r="1731" spans="2:6" x14ac:dyDescent="0.2">
      <c r="B1731" s="129"/>
      <c r="C1731" s="129"/>
      <c r="D1731" s="129"/>
      <c r="E1731" s="129"/>
      <c r="F1731" s="129"/>
    </row>
    <row r="1732" spans="2:6" x14ac:dyDescent="0.2">
      <c r="B1732" s="129"/>
      <c r="C1732" s="129"/>
      <c r="D1732" s="129"/>
      <c r="E1732" s="129"/>
      <c r="F1732" s="129"/>
    </row>
    <row r="1733" spans="2:6" x14ac:dyDescent="0.2">
      <c r="B1733" s="129"/>
      <c r="C1733" s="129"/>
      <c r="D1733" s="129"/>
      <c r="E1733" s="129"/>
      <c r="F1733" s="129"/>
    </row>
    <row r="1734" spans="2:6" x14ac:dyDescent="0.2">
      <c r="B1734" s="129"/>
      <c r="C1734" s="129"/>
      <c r="D1734" s="129"/>
      <c r="E1734" s="129"/>
      <c r="F1734" s="129"/>
    </row>
    <row r="1735" spans="2:6" x14ac:dyDescent="0.2">
      <c r="B1735" s="129"/>
      <c r="C1735" s="129"/>
      <c r="D1735" s="129"/>
      <c r="E1735" s="129"/>
      <c r="F1735" s="129"/>
    </row>
    <row r="1736" spans="2:6" x14ac:dyDescent="0.2">
      <c r="B1736" s="129"/>
      <c r="C1736" s="129"/>
      <c r="D1736" s="129"/>
      <c r="E1736" s="129"/>
      <c r="F1736" s="129"/>
    </row>
    <row r="1737" spans="2:6" x14ac:dyDescent="0.2">
      <c r="B1737" s="129"/>
      <c r="C1737" s="129"/>
      <c r="D1737" s="129"/>
      <c r="E1737" s="129"/>
      <c r="F1737" s="129"/>
    </row>
    <row r="1738" spans="2:6" x14ac:dyDescent="0.2">
      <c r="B1738" s="129"/>
      <c r="C1738" s="129"/>
      <c r="D1738" s="129"/>
      <c r="E1738" s="129"/>
      <c r="F1738" s="129"/>
    </row>
    <row r="1739" spans="2:6" x14ac:dyDescent="0.2">
      <c r="B1739" s="129"/>
      <c r="C1739" s="129"/>
      <c r="D1739" s="129"/>
      <c r="E1739" s="129"/>
      <c r="F1739" s="129"/>
    </row>
    <row r="1740" spans="2:6" x14ac:dyDescent="0.2">
      <c r="B1740" s="129"/>
      <c r="C1740" s="129"/>
      <c r="D1740" s="129"/>
      <c r="E1740" s="129"/>
      <c r="F1740" s="129"/>
    </row>
    <row r="1741" spans="2:6" x14ac:dyDescent="0.2">
      <c r="B1741" s="129"/>
      <c r="C1741" s="129"/>
      <c r="D1741" s="129"/>
      <c r="E1741" s="129"/>
      <c r="F1741" s="129"/>
    </row>
    <row r="1742" spans="2:6" x14ac:dyDescent="0.2">
      <c r="B1742" s="129"/>
      <c r="C1742" s="129"/>
      <c r="D1742" s="129"/>
      <c r="E1742" s="129"/>
      <c r="F1742" s="129"/>
    </row>
    <row r="1743" spans="2:6" x14ac:dyDescent="0.2">
      <c r="B1743" s="129"/>
      <c r="C1743" s="129"/>
      <c r="D1743" s="129"/>
      <c r="E1743" s="129"/>
      <c r="F1743" s="129"/>
    </row>
    <row r="1744" spans="2:6" x14ac:dyDescent="0.2">
      <c r="B1744" s="129"/>
      <c r="C1744" s="129"/>
      <c r="D1744" s="129"/>
      <c r="E1744" s="129"/>
      <c r="F1744" s="129"/>
    </row>
    <row r="1745" spans="2:6" x14ac:dyDescent="0.2">
      <c r="B1745" s="129"/>
      <c r="C1745" s="129"/>
      <c r="D1745" s="129"/>
      <c r="E1745" s="129"/>
      <c r="F1745" s="129"/>
    </row>
    <row r="1746" spans="2:6" x14ac:dyDescent="0.2">
      <c r="B1746" s="129"/>
      <c r="C1746" s="129"/>
      <c r="D1746" s="129"/>
      <c r="E1746" s="129"/>
      <c r="F1746" s="129"/>
    </row>
    <row r="1747" spans="2:6" x14ac:dyDescent="0.2">
      <c r="B1747" s="129"/>
      <c r="C1747" s="129"/>
      <c r="D1747" s="129"/>
      <c r="E1747" s="129"/>
      <c r="F1747" s="129"/>
    </row>
    <row r="1748" spans="2:6" x14ac:dyDescent="0.2">
      <c r="B1748" s="129"/>
      <c r="C1748" s="129"/>
      <c r="D1748" s="129"/>
      <c r="E1748" s="129"/>
      <c r="F1748" s="129"/>
    </row>
    <row r="1749" spans="2:6" x14ac:dyDescent="0.2">
      <c r="B1749" s="129"/>
      <c r="C1749" s="129"/>
      <c r="D1749" s="129"/>
      <c r="E1749" s="129"/>
      <c r="F1749" s="129"/>
    </row>
    <row r="1750" spans="2:6" x14ac:dyDescent="0.2">
      <c r="B1750" s="129"/>
      <c r="C1750" s="129"/>
      <c r="D1750" s="129"/>
      <c r="E1750" s="129"/>
      <c r="F1750" s="129"/>
    </row>
    <row r="1751" spans="2:6" x14ac:dyDescent="0.2">
      <c r="B1751" s="129"/>
      <c r="C1751" s="129"/>
      <c r="D1751" s="129"/>
      <c r="E1751" s="129"/>
      <c r="F1751" s="129"/>
    </row>
    <row r="1752" spans="2:6" x14ac:dyDescent="0.2">
      <c r="B1752" s="129"/>
      <c r="C1752" s="129"/>
      <c r="D1752" s="129"/>
      <c r="E1752" s="129"/>
      <c r="F1752" s="129"/>
    </row>
    <row r="1753" spans="2:6" x14ac:dyDescent="0.2">
      <c r="B1753" s="129"/>
      <c r="C1753" s="129"/>
      <c r="D1753" s="129"/>
      <c r="E1753" s="129"/>
      <c r="F1753" s="129"/>
    </row>
    <row r="1754" spans="2:6" x14ac:dyDescent="0.2">
      <c r="B1754" s="129"/>
      <c r="C1754" s="129"/>
      <c r="D1754" s="129"/>
      <c r="E1754" s="129"/>
      <c r="F1754" s="129"/>
    </row>
    <row r="1755" spans="2:6" x14ac:dyDescent="0.2">
      <c r="B1755" s="129"/>
      <c r="C1755" s="129"/>
      <c r="D1755" s="129"/>
      <c r="E1755" s="129"/>
      <c r="F1755" s="129"/>
    </row>
    <row r="1756" spans="2:6" x14ac:dyDescent="0.2">
      <c r="B1756" s="129"/>
      <c r="C1756" s="129"/>
      <c r="D1756" s="129"/>
      <c r="E1756" s="129"/>
      <c r="F1756" s="129"/>
    </row>
    <row r="1757" spans="2:6" x14ac:dyDescent="0.2">
      <c r="B1757" s="129"/>
      <c r="C1757" s="129"/>
      <c r="D1757" s="129"/>
      <c r="E1757" s="129"/>
      <c r="F1757" s="129"/>
    </row>
    <row r="1758" spans="2:6" x14ac:dyDescent="0.2">
      <c r="B1758" s="129"/>
      <c r="C1758" s="129"/>
      <c r="D1758" s="129"/>
      <c r="E1758" s="129"/>
      <c r="F1758" s="129"/>
    </row>
    <row r="1759" spans="2:6" x14ac:dyDescent="0.2">
      <c r="B1759" s="129"/>
      <c r="C1759" s="129"/>
      <c r="D1759" s="129"/>
      <c r="E1759" s="129"/>
      <c r="F1759" s="129"/>
    </row>
    <row r="1760" spans="2:6" x14ac:dyDescent="0.2">
      <c r="B1760" s="129"/>
      <c r="C1760" s="129"/>
      <c r="D1760" s="129"/>
      <c r="E1760" s="129"/>
      <c r="F1760" s="129"/>
    </row>
    <row r="1761" spans="2:6" x14ac:dyDescent="0.2">
      <c r="B1761" s="129"/>
      <c r="C1761" s="129"/>
      <c r="D1761" s="129"/>
      <c r="E1761" s="129"/>
      <c r="F1761" s="129"/>
    </row>
    <row r="1762" spans="2:6" x14ac:dyDescent="0.2">
      <c r="B1762" s="129"/>
      <c r="C1762" s="129"/>
      <c r="D1762" s="129"/>
      <c r="E1762" s="129"/>
      <c r="F1762" s="129"/>
    </row>
    <row r="1763" spans="2:6" x14ac:dyDescent="0.2">
      <c r="B1763" s="129"/>
      <c r="C1763" s="129"/>
      <c r="D1763" s="129"/>
      <c r="E1763" s="129"/>
      <c r="F1763" s="129"/>
    </row>
    <row r="1764" spans="2:6" x14ac:dyDescent="0.2">
      <c r="B1764" s="129"/>
      <c r="C1764" s="129"/>
      <c r="D1764" s="129"/>
      <c r="E1764" s="129"/>
      <c r="F1764" s="129"/>
    </row>
    <row r="1765" spans="2:6" x14ac:dyDescent="0.2">
      <c r="B1765" s="129"/>
      <c r="C1765" s="129"/>
      <c r="D1765" s="129"/>
      <c r="E1765" s="129"/>
      <c r="F1765" s="129"/>
    </row>
    <row r="1766" spans="2:6" x14ac:dyDescent="0.2">
      <c r="B1766" s="129"/>
      <c r="C1766" s="129"/>
      <c r="D1766" s="129"/>
      <c r="E1766" s="129"/>
      <c r="F1766" s="129"/>
    </row>
    <row r="1767" spans="2:6" x14ac:dyDescent="0.2">
      <c r="B1767" s="129"/>
      <c r="C1767" s="129"/>
      <c r="D1767" s="129"/>
      <c r="E1767" s="129"/>
      <c r="F1767" s="129"/>
    </row>
    <row r="1768" spans="2:6" x14ac:dyDescent="0.2">
      <c r="B1768" s="129"/>
      <c r="C1768" s="129"/>
      <c r="D1768" s="129"/>
      <c r="E1768" s="129"/>
      <c r="F1768" s="129"/>
    </row>
    <row r="1769" spans="2:6" x14ac:dyDescent="0.2">
      <c r="B1769" s="129"/>
      <c r="C1769" s="129"/>
      <c r="D1769" s="129"/>
      <c r="E1769" s="129"/>
      <c r="F1769" s="129"/>
    </row>
    <row r="1770" spans="2:6" x14ac:dyDescent="0.2">
      <c r="B1770" s="129"/>
      <c r="C1770" s="129"/>
      <c r="D1770" s="129"/>
      <c r="E1770" s="129"/>
      <c r="F1770" s="129"/>
    </row>
    <row r="1771" spans="2:6" x14ac:dyDescent="0.2">
      <c r="B1771" s="129"/>
      <c r="C1771" s="129"/>
      <c r="D1771" s="129"/>
      <c r="E1771" s="129"/>
      <c r="F1771" s="129"/>
    </row>
    <row r="1772" spans="2:6" x14ac:dyDescent="0.2">
      <c r="B1772" s="129"/>
      <c r="C1772" s="129"/>
      <c r="D1772" s="129"/>
      <c r="E1772" s="129"/>
      <c r="F1772" s="129"/>
    </row>
    <row r="1773" spans="2:6" x14ac:dyDescent="0.2">
      <c r="B1773" s="129"/>
      <c r="C1773" s="129"/>
      <c r="D1773" s="129"/>
      <c r="E1773" s="129"/>
      <c r="F1773" s="129"/>
    </row>
    <row r="1774" spans="2:6" x14ac:dyDescent="0.2">
      <c r="B1774" s="129"/>
      <c r="C1774" s="129"/>
      <c r="D1774" s="129"/>
      <c r="E1774" s="129"/>
      <c r="F1774" s="129"/>
    </row>
    <row r="1775" spans="2:6" x14ac:dyDescent="0.2">
      <c r="B1775" s="129"/>
      <c r="C1775" s="129"/>
      <c r="D1775" s="129"/>
      <c r="E1775" s="129"/>
      <c r="F1775" s="129"/>
    </row>
    <row r="1776" spans="2:6" x14ac:dyDescent="0.2">
      <c r="B1776" s="129"/>
      <c r="C1776" s="129"/>
      <c r="D1776" s="129"/>
      <c r="E1776" s="129"/>
      <c r="F1776" s="129"/>
    </row>
    <row r="1777" spans="2:6" x14ac:dyDescent="0.2">
      <c r="B1777" s="129"/>
      <c r="C1777" s="129"/>
      <c r="D1777" s="129"/>
      <c r="E1777" s="129"/>
      <c r="F1777" s="129"/>
    </row>
    <row r="1778" spans="2:6" x14ac:dyDescent="0.2">
      <c r="B1778" s="129"/>
      <c r="C1778" s="129"/>
      <c r="D1778" s="129"/>
      <c r="E1778" s="129"/>
      <c r="F1778" s="129"/>
    </row>
    <row r="1779" spans="2:6" x14ac:dyDescent="0.2">
      <c r="B1779" s="129"/>
      <c r="C1779" s="129"/>
      <c r="D1779" s="129"/>
      <c r="E1779" s="129"/>
      <c r="F1779" s="129"/>
    </row>
    <row r="1780" spans="2:6" x14ac:dyDescent="0.2">
      <c r="B1780" s="129"/>
      <c r="C1780" s="129"/>
      <c r="D1780" s="129"/>
      <c r="E1780" s="129"/>
      <c r="F1780" s="129"/>
    </row>
    <row r="1781" spans="2:6" x14ac:dyDescent="0.2">
      <c r="B1781" s="129"/>
      <c r="C1781" s="129"/>
      <c r="D1781" s="129"/>
      <c r="E1781" s="129"/>
      <c r="F1781" s="129"/>
    </row>
    <row r="1782" spans="2:6" x14ac:dyDescent="0.2">
      <c r="B1782" s="129"/>
      <c r="C1782" s="129"/>
      <c r="D1782" s="129"/>
      <c r="E1782" s="129"/>
      <c r="F1782" s="129"/>
    </row>
    <row r="1783" spans="2:6" x14ac:dyDescent="0.2">
      <c r="B1783" s="129"/>
      <c r="C1783" s="129"/>
      <c r="D1783" s="129"/>
      <c r="E1783" s="129"/>
      <c r="F1783" s="129"/>
    </row>
    <row r="1784" spans="2:6" x14ac:dyDescent="0.2">
      <c r="B1784" s="129"/>
      <c r="C1784" s="129"/>
      <c r="D1784" s="129"/>
      <c r="E1784" s="129"/>
      <c r="F1784" s="129"/>
    </row>
    <row r="1785" spans="2:6" x14ac:dyDescent="0.2">
      <c r="B1785" s="129"/>
      <c r="C1785" s="129"/>
      <c r="D1785" s="129"/>
      <c r="E1785" s="129"/>
      <c r="F1785" s="129"/>
    </row>
    <row r="1786" spans="2:6" x14ac:dyDescent="0.2">
      <c r="B1786" s="129"/>
      <c r="C1786" s="129"/>
      <c r="D1786" s="129"/>
      <c r="E1786" s="129"/>
      <c r="F1786" s="129"/>
    </row>
    <row r="1787" spans="2:6" x14ac:dyDescent="0.2">
      <c r="B1787" s="129"/>
      <c r="C1787" s="129"/>
      <c r="D1787" s="129"/>
      <c r="E1787" s="129"/>
      <c r="F1787" s="129"/>
    </row>
    <row r="1788" spans="2:6" x14ac:dyDescent="0.2">
      <c r="B1788" s="129"/>
      <c r="C1788" s="129"/>
      <c r="D1788" s="129"/>
      <c r="E1788" s="129"/>
      <c r="F1788" s="129"/>
    </row>
    <row r="1789" spans="2:6" x14ac:dyDescent="0.2">
      <c r="B1789" s="129"/>
      <c r="C1789" s="129"/>
      <c r="D1789" s="129"/>
      <c r="E1789" s="129"/>
      <c r="F1789" s="129"/>
    </row>
    <row r="1790" spans="2:6" x14ac:dyDescent="0.2">
      <c r="B1790" s="129"/>
      <c r="C1790" s="129"/>
      <c r="D1790" s="129"/>
      <c r="E1790" s="129"/>
      <c r="F1790" s="129"/>
    </row>
    <row r="1791" spans="2:6" x14ac:dyDescent="0.2">
      <c r="B1791" s="129"/>
      <c r="C1791" s="129"/>
      <c r="D1791" s="129"/>
      <c r="E1791" s="129"/>
      <c r="F1791" s="129"/>
    </row>
    <row r="1792" spans="2:6" x14ac:dyDescent="0.2">
      <c r="B1792" s="129"/>
      <c r="C1792" s="129"/>
      <c r="D1792" s="129"/>
      <c r="E1792" s="129"/>
      <c r="F1792" s="129"/>
    </row>
    <row r="1793" spans="2:6" x14ac:dyDescent="0.2">
      <c r="B1793" s="129"/>
      <c r="C1793" s="129"/>
      <c r="D1793" s="129"/>
      <c r="E1793" s="129"/>
      <c r="F1793" s="129"/>
    </row>
    <row r="1794" spans="2:6" x14ac:dyDescent="0.2">
      <c r="B1794" s="129"/>
      <c r="C1794" s="129"/>
      <c r="D1794" s="129"/>
      <c r="E1794" s="129"/>
      <c r="F1794" s="129"/>
    </row>
    <row r="1795" spans="2:6" x14ac:dyDescent="0.2">
      <c r="B1795" s="129"/>
      <c r="C1795" s="129"/>
      <c r="D1795" s="129"/>
      <c r="E1795" s="129"/>
      <c r="F1795" s="129"/>
    </row>
    <row r="1796" spans="2:6" x14ac:dyDescent="0.2">
      <c r="B1796" s="129"/>
      <c r="C1796" s="129"/>
      <c r="D1796" s="129"/>
      <c r="E1796" s="129"/>
      <c r="F1796" s="129"/>
    </row>
    <row r="1797" spans="2:6" x14ac:dyDescent="0.2">
      <c r="B1797" s="129"/>
      <c r="C1797" s="129"/>
      <c r="D1797" s="129"/>
      <c r="E1797" s="129"/>
      <c r="F1797" s="129"/>
    </row>
    <row r="1798" spans="2:6" x14ac:dyDescent="0.2">
      <c r="B1798" s="129"/>
      <c r="C1798" s="129"/>
      <c r="D1798" s="129"/>
      <c r="E1798" s="129"/>
      <c r="F1798" s="129"/>
    </row>
    <row r="1799" spans="2:6" x14ac:dyDescent="0.2">
      <c r="B1799" s="129"/>
      <c r="C1799" s="129"/>
      <c r="D1799" s="129"/>
      <c r="E1799" s="129"/>
      <c r="F1799" s="129"/>
    </row>
    <row r="1800" spans="2:6" x14ac:dyDescent="0.2">
      <c r="B1800" s="129"/>
      <c r="C1800" s="129"/>
      <c r="D1800" s="129"/>
      <c r="E1800" s="129"/>
      <c r="F1800" s="129"/>
    </row>
    <row r="1801" spans="2:6" x14ac:dyDescent="0.2">
      <c r="B1801" s="129"/>
      <c r="C1801" s="129"/>
      <c r="D1801" s="129"/>
      <c r="E1801" s="129"/>
      <c r="F1801" s="129"/>
    </row>
    <row r="1802" spans="2:6" x14ac:dyDescent="0.2">
      <c r="B1802" s="129"/>
      <c r="C1802" s="129"/>
      <c r="D1802" s="129"/>
      <c r="E1802" s="129"/>
      <c r="F1802" s="129"/>
    </row>
    <row r="1803" spans="2:6" x14ac:dyDescent="0.2">
      <c r="B1803" s="129"/>
      <c r="C1803" s="129"/>
      <c r="D1803" s="129"/>
      <c r="E1803" s="129"/>
      <c r="F1803" s="129"/>
    </row>
    <row r="1804" spans="2:6" x14ac:dyDescent="0.2">
      <c r="B1804" s="129"/>
      <c r="C1804" s="129"/>
      <c r="D1804" s="129"/>
      <c r="E1804" s="129"/>
      <c r="F1804" s="129"/>
    </row>
    <row r="1805" spans="2:6" x14ac:dyDescent="0.2">
      <c r="B1805" s="129"/>
      <c r="C1805" s="129"/>
      <c r="D1805" s="129"/>
      <c r="E1805" s="129"/>
      <c r="F1805" s="129"/>
    </row>
    <row r="1806" spans="2:6" x14ac:dyDescent="0.2">
      <c r="B1806" s="129"/>
      <c r="C1806" s="129"/>
      <c r="D1806" s="129"/>
      <c r="E1806" s="129"/>
      <c r="F1806" s="129"/>
    </row>
    <row r="1807" spans="2:6" x14ac:dyDescent="0.2">
      <c r="B1807" s="129"/>
      <c r="C1807" s="129"/>
      <c r="D1807" s="129"/>
      <c r="E1807" s="129"/>
      <c r="F1807" s="129"/>
    </row>
    <row r="1808" spans="2:6" x14ac:dyDescent="0.2">
      <c r="B1808" s="129"/>
      <c r="C1808" s="129"/>
      <c r="D1808" s="129"/>
      <c r="E1808" s="129"/>
      <c r="F1808" s="129"/>
    </row>
    <row r="1809" spans="2:6" x14ac:dyDescent="0.2">
      <c r="B1809" s="129"/>
      <c r="C1809" s="129"/>
      <c r="D1809" s="129"/>
      <c r="E1809" s="129"/>
      <c r="F1809" s="129"/>
    </row>
    <row r="1810" spans="2:6" x14ac:dyDescent="0.2">
      <c r="B1810" s="129"/>
      <c r="C1810" s="129"/>
      <c r="D1810" s="129"/>
      <c r="E1810" s="129"/>
      <c r="F1810" s="129"/>
    </row>
    <row r="1811" spans="2:6" x14ac:dyDescent="0.2">
      <c r="B1811" s="129"/>
      <c r="C1811" s="129"/>
      <c r="D1811" s="129"/>
      <c r="E1811" s="129"/>
      <c r="F1811" s="129"/>
    </row>
    <row r="1812" spans="2:6" x14ac:dyDescent="0.2">
      <c r="B1812" s="129"/>
      <c r="C1812" s="129"/>
      <c r="D1812" s="129"/>
      <c r="E1812" s="129"/>
      <c r="F1812" s="129"/>
    </row>
    <row r="1813" spans="2:6" x14ac:dyDescent="0.2">
      <c r="B1813" s="129"/>
      <c r="C1813" s="129"/>
      <c r="D1813" s="129"/>
      <c r="E1813" s="129"/>
      <c r="F1813" s="129"/>
    </row>
    <row r="1814" spans="2:6" x14ac:dyDescent="0.2">
      <c r="B1814" s="129"/>
      <c r="C1814" s="129"/>
      <c r="D1814" s="129"/>
      <c r="E1814" s="129"/>
      <c r="F1814" s="129"/>
    </row>
    <row r="1815" spans="2:6" x14ac:dyDescent="0.2">
      <c r="B1815" s="129"/>
      <c r="C1815" s="129"/>
      <c r="D1815" s="129"/>
      <c r="E1815" s="129"/>
      <c r="F1815" s="129"/>
    </row>
    <row r="1816" spans="2:6" x14ac:dyDescent="0.2">
      <c r="B1816" s="129"/>
      <c r="C1816" s="129"/>
      <c r="D1816" s="129"/>
      <c r="E1816" s="129"/>
      <c r="F1816" s="129"/>
    </row>
    <row r="1817" spans="2:6" x14ac:dyDescent="0.2">
      <c r="B1817" s="129"/>
      <c r="C1817" s="129"/>
      <c r="D1817" s="129"/>
      <c r="E1817" s="129"/>
      <c r="F1817" s="129"/>
    </row>
    <row r="1818" spans="2:6" x14ac:dyDescent="0.2">
      <c r="B1818" s="129"/>
      <c r="C1818" s="129"/>
      <c r="D1818" s="129"/>
      <c r="E1818" s="129"/>
      <c r="F1818" s="129"/>
    </row>
    <row r="1819" spans="2:6" x14ac:dyDescent="0.2">
      <c r="B1819" s="129"/>
      <c r="C1819" s="129"/>
      <c r="D1819" s="129"/>
      <c r="E1819" s="129"/>
      <c r="F1819" s="129"/>
    </row>
    <row r="1820" spans="2:6" x14ac:dyDescent="0.2">
      <c r="B1820" s="129"/>
      <c r="C1820" s="129"/>
      <c r="D1820" s="129"/>
      <c r="E1820" s="129"/>
      <c r="F1820" s="129"/>
    </row>
    <row r="1821" spans="2:6" x14ac:dyDescent="0.2">
      <c r="B1821" s="129"/>
      <c r="C1821" s="129"/>
      <c r="D1821" s="129"/>
      <c r="E1821" s="129"/>
      <c r="F1821" s="129"/>
    </row>
    <row r="1822" spans="2:6" x14ac:dyDescent="0.2">
      <c r="B1822" s="129"/>
      <c r="C1822" s="129"/>
      <c r="D1822" s="129"/>
      <c r="E1822" s="129"/>
      <c r="F1822" s="129"/>
    </row>
    <row r="1823" spans="2:6" x14ac:dyDescent="0.2">
      <c r="B1823" s="129"/>
      <c r="C1823" s="129"/>
      <c r="D1823" s="129"/>
      <c r="E1823" s="129"/>
      <c r="F1823" s="129"/>
    </row>
    <row r="1824" spans="2:6" x14ac:dyDescent="0.2">
      <c r="B1824" s="129"/>
      <c r="C1824" s="129"/>
      <c r="D1824" s="129"/>
      <c r="E1824" s="129"/>
      <c r="F1824" s="129"/>
    </row>
    <row r="1825" spans="2:6" x14ac:dyDescent="0.2">
      <c r="B1825" s="129"/>
      <c r="C1825" s="129"/>
      <c r="D1825" s="129"/>
      <c r="E1825" s="129"/>
      <c r="F1825" s="129"/>
    </row>
    <row r="1826" spans="2:6" x14ac:dyDescent="0.2">
      <c r="B1826" s="129"/>
      <c r="C1826" s="129"/>
      <c r="D1826" s="129"/>
      <c r="E1826" s="129"/>
      <c r="F1826" s="129"/>
    </row>
    <row r="1827" spans="2:6" x14ac:dyDescent="0.2">
      <c r="B1827" s="129"/>
      <c r="C1827" s="129"/>
      <c r="D1827" s="129"/>
      <c r="E1827" s="129"/>
      <c r="F1827" s="129"/>
    </row>
    <row r="1828" spans="2:6" x14ac:dyDescent="0.2">
      <c r="B1828" s="129"/>
      <c r="C1828" s="129"/>
      <c r="D1828" s="129"/>
      <c r="E1828" s="129"/>
      <c r="F1828" s="129"/>
    </row>
    <row r="1829" spans="2:6" x14ac:dyDescent="0.2">
      <c r="B1829" s="129"/>
      <c r="C1829" s="129"/>
      <c r="D1829" s="129"/>
      <c r="E1829" s="129"/>
      <c r="F1829" s="129"/>
    </row>
    <row r="1830" spans="2:6" x14ac:dyDescent="0.2">
      <c r="B1830" s="129"/>
      <c r="C1830" s="129"/>
      <c r="D1830" s="129"/>
      <c r="E1830" s="129"/>
      <c r="F1830" s="129"/>
    </row>
    <row r="1831" spans="2:6" x14ac:dyDescent="0.2">
      <c r="B1831" s="129"/>
      <c r="C1831" s="129"/>
      <c r="D1831" s="129"/>
      <c r="E1831" s="129"/>
      <c r="F1831" s="129"/>
    </row>
    <row r="1832" spans="2:6" x14ac:dyDescent="0.2">
      <c r="B1832" s="129"/>
      <c r="C1832" s="129"/>
      <c r="D1832" s="129"/>
      <c r="E1832" s="129"/>
      <c r="F1832" s="129"/>
    </row>
    <row r="1833" spans="2:6" x14ac:dyDescent="0.2">
      <c r="B1833" s="129"/>
      <c r="C1833" s="129"/>
      <c r="D1833" s="129"/>
      <c r="E1833" s="129"/>
      <c r="F1833" s="129"/>
    </row>
    <row r="1834" spans="2:6" x14ac:dyDescent="0.2">
      <c r="B1834" s="129"/>
      <c r="C1834" s="129"/>
      <c r="D1834" s="129"/>
      <c r="E1834" s="129"/>
      <c r="F1834" s="129"/>
    </row>
    <row r="1835" spans="2:6" x14ac:dyDescent="0.2">
      <c r="B1835" s="129"/>
      <c r="C1835" s="129"/>
      <c r="D1835" s="129"/>
      <c r="E1835" s="129"/>
      <c r="F1835" s="129"/>
    </row>
    <row r="1836" spans="2:6" x14ac:dyDescent="0.2">
      <c r="B1836" s="129"/>
      <c r="C1836" s="129"/>
      <c r="D1836" s="129"/>
      <c r="E1836" s="129"/>
      <c r="F1836" s="129"/>
    </row>
    <row r="1837" spans="2:6" x14ac:dyDescent="0.2">
      <c r="B1837" s="129"/>
      <c r="C1837" s="129"/>
      <c r="D1837" s="129"/>
      <c r="E1837" s="129"/>
      <c r="F1837" s="129"/>
    </row>
    <row r="1838" spans="2:6" x14ac:dyDescent="0.2">
      <c r="B1838" s="129"/>
      <c r="C1838" s="129"/>
      <c r="D1838" s="129"/>
      <c r="E1838" s="129"/>
      <c r="F1838" s="129"/>
    </row>
    <row r="1839" spans="2:6" x14ac:dyDescent="0.2">
      <c r="B1839" s="129"/>
      <c r="C1839" s="129"/>
      <c r="D1839" s="129"/>
      <c r="E1839" s="129"/>
      <c r="F1839" s="129"/>
    </row>
    <row r="1840" spans="2:6" x14ac:dyDescent="0.2">
      <c r="B1840" s="129"/>
      <c r="C1840" s="129"/>
      <c r="D1840" s="129"/>
      <c r="E1840" s="129"/>
      <c r="F1840" s="129"/>
    </row>
    <row r="1841" spans="2:6" x14ac:dyDescent="0.2">
      <c r="B1841" s="129"/>
      <c r="C1841" s="129"/>
      <c r="D1841" s="129"/>
      <c r="E1841" s="129"/>
      <c r="F1841" s="129"/>
    </row>
    <row r="1842" spans="2:6" x14ac:dyDescent="0.2">
      <c r="B1842" s="129"/>
      <c r="C1842" s="129"/>
      <c r="D1842" s="129"/>
      <c r="E1842" s="129"/>
      <c r="F1842" s="129"/>
    </row>
    <row r="1843" spans="2:6" x14ac:dyDescent="0.2">
      <c r="B1843" s="129"/>
      <c r="C1843" s="129"/>
      <c r="D1843" s="129"/>
      <c r="E1843" s="129"/>
      <c r="F1843" s="129"/>
    </row>
    <row r="1844" spans="2:6" x14ac:dyDescent="0.2">
      <c r="B1844" s="129"/>
      <c r="C1844" s="129"/>
      <c r="D1844" s="129"/>
      <c r="E1844" s="129"/>
      <c r="F1844" s="129"/>
    </row>
    <row r="1845" spans="2:6" x14ac:dyDescent="0.2">
      <c r="B1845" s="129"/>
      <c r="C1845" s="129"/>
      <c r="D1845" s="129"/>
      <c r="E1845" s="129"/>
      <c r="F1845" s="129"/>
    </row>
    <row r="1846" spans="2:6" x14ac:dyDescent="0.2">
      <c r="B1846" s="129"/>
      <c r="C1846" s="129"/>
      <c r="D1846" s="129"/>
      <c r="E1846" s="129"/>
      <c r="F1846" s="129"/>
    </row>
    <row r="1847" spans="2:6" x14ac:dyDescent="0.2">
      <c r="B1847" s="129"/>
      <c r="C1847" s="129"/>
      <c r="D1847" s="129"/>
      <c r="E1847" s="129"/>
      <c r="F1847" s="129"/>
    </row>
    <row r="1848" spans="2:6" x14ac:dyDescent="0.2">
      <c r="B1848" s="129"/>
      <c r="C1848" s="129"/>
      <c r="D1848" s="129"/>
      <c r="E1848" s="129"/>
      <c r="F1848" s="129"/>
    </row>
    <row r="1849" spans="2:6" x14ac:dyDescent="0.2">
      <c r="B1849" s="129"/>
      <c r="C1849" s="129"/>
      <c r="D1849" s="129"/>
      <c r="E1849" s="129"/>
      <c r="F1849" s="129"/>
    </row>
    <row r="1850" spans="2:6" x14ac:dyDescent="0.2">
      <c r="B1850" s="129"/>
      <c r="C1850" s="129"/>
      <c r="D1850" s="129"/>
      <c r="E1850" s="129"/>
      <c r="F1850" s="129"/>
    </row>
    <row r="1851" spans="2:6" x14ac:dyDescent="0.2">
      <c r="B1851" s="129"/>
      <c r="C1851" s="129"/>
      <c r="D1851" s="129"/>
      <c r="E1851" s="129"/>
      <c r="F1851" s="129"/>
    </row>
    <row r="1852" spans="2:6" x14ac:dyDescent="0.2">
      <c r="B1852" s="129"/>
      <c r="C1852" s="129"/>
      <c r="D1852" s="129"/>
      <c r="E1852" s="129"/>
      <c r="F1852" s="129"/>
    </row>
    <row r="1853" spans="2:6" x14ac:dyDescent="0.2">
      <c r="B1853" s="129"/>
      <c r="C1853" s="129"/>
      <c r="D1853" s="129"/>
      <c r="E1853" s="129"/>
      <c r="F1853" s="129"/>
    </row>
    <row r="1854" spans="2:6" x14ac:dyDescent="0.2">
      <c r="B1854" s="129"/>
      <c r="C1854" s="129"/>
      <c r="D1854" s="129"/>
      <c r="E1854" s="129"/>
      <c r="F1854" s="129"/>
    </row>
    <row r="1855" spans="2:6" x14ac:dyDescent="0.2">
      <c r="B1855" s="129"/>
      <c r="C1855" s="129"/>
      <c r="D1855" s="129"/>
      <c r="E1855" s="129"/>
      <c r="F1855" s="129"/>
    </row>
    <row r="1856" spans="2:6" x14ac:dyDescent="0.2">
      <c r="B1856" s="129"/>
      <c r="C1856" s="129"/>
      <c r="D1856" s="129"/>
      <c r="E1856" s="129"/>
      <c r="F1856" s="129"/>
    </row>
    <row r="1857" spans="2:6" x14ac:dyDescent="0.2">
      <c r="B1857" s="129"/>
      <c r="C1857" s="129"/>
      <c r="D1857" s="129"/>
      <c r="E1857" s="129"/>
      <c r="F1857" s="129"/>
    </row>
    <row r="1858" spans="2:6" x14ac:dyDescent="0.2">
      <c r="B1858" s="129"/>
      <c r="C1858" s="129"/>
      <c r="D1858" s="129"/>
      <c r="E1858" s="129"/>
      <c r="F1858" s="129"/>
    </row>
    <row r="1859" spans="2:6" x14ac:dyDescent="0.2">
      <c r="B1859" s="129"/>
      <c r="C1859" s="129"/>
      <c r="D1859" s="129"/>
      <c r="E1859" s="129"/>
      <c r="F1859" s="129"/>
    </row>
    <row r="1860" spans="2:6" x14ac:dyDescent="0.2">
      <c r="B1860" s="129"/>
      <c r="C1860" s="129"/>
      <c r="D1860" s="129"/>
      <c r="E1860" s="129"/>
      <c r="F1860" s="129"/>
    </row>
    <row r="1861" spans="2:6" x14ac:dyDescent="0.2">
      <c r="B1861" s="129"/>
      <c r="C1861" s="129"/>
      <c r="D1861" s="129"/>
      <c r="E1861" s="129"/>
      <c r="F1861" s="129"/>
    </row>
    <row r="1862" spans="2:6" x14ac:dyDescent="0.2">
      <c r="B1862" s="129"/>
      <c r="C1862" s="129"/>
      <c r="D1862" s="129"/>
      <c r="E1862" s="129"/>
      <c r="F1862" s="129"/>
    </row>
    <row r="1863" spans="2:6" x14ac:dyDescent="0.2">
      <c r="B1863" s="129"/>
      <c r="C1863" s="129"/>
      <c r="D1863" s="129"/>
      <c r="E1863" s="129"/>
      <c r="F1863" s="129"/>
    </row>
    <row r="1864" spans="2:6" x14ac:dyDescent="0.2">
      <c r="B1864" s="129"/>
      <c r="C1864" s="129"/>
      <c r="D1864" s="129"/>
      <c r="E1864" s="129"/>
      <c r="F1864" s="129"/>
    </row>
    <row r="1865" spans="2:6" x14ac:dyDescent="0.2">
      <c r="B1865" s="129"/>
      <c r="C1865" s="129"/>
      <c r="D1865" s="129"/>
      <c r="E1865" s="129"/>
      <c r="F1865" s="129"/>
    </row>
    <row r="1866" spans="2:6" x14ac:dyDescent="0.2">
      <c r="B1866" s="129"/>
      <c r="C1866" s="129"/>
      <c r="D1866" s="129"/>
      <c r="E1866" s="129"/>
      <c r="F1866" s="129"/>
    </row>
    <row r="1867" spans="2:6" x14ac:dyDescent="0.2">
      <c r="B1867" s="129"/>
      <c r="C1867" s="129"/>
      <c r="D1867" s="129"/>
      <c r="E1867" s="129"/>
      <c r="F1867" s="129"/>
    </row>
    <row r="1868" spans="2:6" x14ac:dyDescent="0.2">
      <c r="B1868" s="129"/>
      <c r="C1868" s="129"/>
      <c r="D1868" s="129"/>
      <c r="E1868" s="129"/>
      <c r="F1868" s="129"/>
    </row>
    <row r="1869" spans="2:6" x14ac:dyDescent="0.2">
      <c r="B1869" s="129"/>
      <c r="C1869" s="129"/>
      <c r="D1869" s="129"/>
      <c r="E1869" s="129"/>
      <c r="F1869" s="129"/>
    </row>
    <row r="1870" spans="2:6" x14ac:dyDescent="0.2">
      <c r="B1870" s="129"/>
      <c r="C1870" s="129"/>
      <c r="D1870" s="129"/>
      <c r="E1870" s="129"/>
      <c r="F1870" s="129"/>
    </row>
    <row r="1871" spans="2:6" x14ac:dyDescent="0.2">
      <c r="B1871" s="129"/>
      <c r="C1871" s="129"/>
      <c r="D1871" s="129"/>
      <c r="E1871" s="129"/>
      <c r="F1871" s="129"/>
    </row>
    <row r="1872" spans="2:6" x14ac:dyDescent="0.2">
      <c r="B1872" s="129"/>
      <c r="C1872" s="129"/>
      <c r="D1872" s="129"/>
      <c r="E1872" s="129"/>
      <c r="F1872" s="129"/>
    </row>
    <row r="1873" spans="2:6" x14ac:dyDescent="0.2">
      <c r="B1873" s="129"/>
      <c r="C1873" s="129"/>
      <c r="D1873" s="129"/>
      <c r="E1873" s="129"/>
      <c r="F1873" s="129"/>
    </row>
    <row r="1874" spans="2:6" x14ac:dyDescent="0.2">
      <c r="B1874" s="129"/>
      <c r="C1874" s="129"/>
      <c r="D1874" s="129"/>
      <c r="E1874" s="129"/>
      <c r="F1874" s="129"/>
    </row>
    <row r="1875" spans="2:6" x14ac:dyDescent="0.2">
      <c r="B1875" s="129"/>
      <c r="C1875" s="129"/>
      <c r="D1875" s="129"/>
      <c r="E1875" s="129"/>
      <c r="F1875" s="129"/>
    </row>
    <row r="1876" spans="2:6" x14ac:dyDescent="0.2">
      <c r="B1876" s="129"/>
      <c r="C1876" s="129"/>
      <c r="D1876" s="129"/>
      <c r="E1876" s="129"/>
      <c r="F1876" s="129"/>
    </row>
    <row r="1877" spans="2:6" x14ac:dyDescent="0.2">
      <c r="B1877" s="129"/>
      <c r="C1877" s="129"/>
      <c r="D1877" s="129"/>
      <c r="E1877" s="129"/>
      <c r="F1877" s="129"/>
    </row>
    <row r="1878" spans="2:6" x14ac:dyDescent="0.2">
      <c r="B1878" s="129"/>
      <c r="C1878" s="129"/>
      <c r="D1878" s="129"/>
      <c r="E1878" s="129"/>
      <c r="F1878" s="129"/>
    </row>
    <row r="1879" spans="2:6" x14ac:dyDescent="0.2">
      <c r="B1879" s="129"/>
      <c r="C1879" s="129"/>
      <c r="D1879" s="129"/>
      <c r="E1879" s="129"/>
      <c r="F1879" s="129"/>
    </row>
    <row r="1880" spans="2:6" x14ac:dyDescent="0.2">
      <c r="B1880" s="129"/>
      <c r="C1880" s="129"/>
      <c r="D1880" s="129"/>
      <c r="E1880" s="129"/>
      <c r="F1880" s="129"/>
    </row>
    <row r="1881" spans="2:6" x14ac:dyDescent="0.2">
      <c r="B1881" s="129"/>
      <c r="C1881" s="129"/>
      <c r="D1881" s="129"/>
      <c r="E1881" s="129"/>
      <c r="F1881" s="129"/>
    </row>
    <row r="1882" spans="2:6" x14ac:dyDescent="0.2">
      <c r="B1882" s="129"/>
      <c r="C1882" s="129"/>
      <c r="D1882" s="129"/>
      <c r="E1882" s="129"/>
      <c r="F1882" s="129"/>
    </row>
    <row r="1883" spans="2:6" x14ac:dyDescent="0.2">
      <c r="B1883" s="129"/>
      <c r="C1883" s="129"/>
      <c r="D1883" s="129"/>
      <c r="E1883" s="129"/>
      <c r="F1883" s="129"/>
    </row>
    <row r="1884" spans="2:6" x14ac:dyDescent="0.2">
      <c r="B1884" s="129"/>
      <c r="C1884" s="129"/>
      <c r="D1884" s="129"/>
      <c r="E1884" s="129"/>
      <c r="F1884" s="129"/>
    </row>
    <row r="1885" spans="2:6" x14ac:dyDescent="0.2">
      <c r="B1885" s="129"/>
      <c r="C1885" s="129"/>
      <c r="D1885" s="129"/>
      <c r="E1885" s="129"/>
      <c r="F1885" s="129"/>
    </row>
    <row r="1886" spans="2:6" x14ac:dyDescent="0.2">
      <c r="B1886" s="129"/>
      <c r="C1886" s="129"/>
      <c r="D1886" s="129"/>
      <c r="E1886" s="129"/>
      <c r="F1886" s="129"/>
    </row>
    <row r="1887" spans="2:6" x14ac:dyDescent="0.2">
      <c r="B1887" s="129"/>
      <c r="C1887" s="129"/>
      <c r="D1887" s="129"/>
      <c r="E1887" s="129"/>
      <c r="F1887" s="129"/>
    </row>
    <row r="1888" spans="2:6" x14ac:dyDescent="0.2">
      <c r="B1888" s="129"/>
      <c r="C1888" s="129"/>
      <c r="D1888" s="129"/>
      <c r="E1888" s="129"/>
      <c r="F1888" s="129"/>
    </row>
    <row r="1889" spans="2:6" x14ac:dyDescent="0.2">
      <c r="B1889" s="129"/>
      <c r="C1889" s="129"/>
      <c r="D1889" s="129"/>
      <c r="E1889" s="129"/>
      <c r="F1889" s="129"/>
    </row>
    <row r="1890" spans="2:6" x14ac:dyDescent="0.2">
      <c r="B1890" s="129"/>
      <c r="C1890" s="129"/>
      <c r="D1890" s="129"/>
      <c r="E1890" s="129"/>
      <c r="F1890" s="129"/>
    </row>
    <row r="1891" spans="2:6" x14ac:dyDescent="0.2">
      <c r="B1891" s="129"/>
      <c r="C1891" s="129"/>
      <c r="D1891" s="129"/>
      <c r="E1891" s="129"/>
      <c r="F1891" s="129"/>
    </row>
    <row r="1892" spans="2:6" x14ac:dyDescent="0.2">
      <c r="B1892" s="129"/>
      <c r="C1892" s="129"/>
      <c r="D1892" s="129"/>
      <c r="E1892" s="129"/>
      <c r="F1892" s="129"/>
    </row>
    <row r="1893" spans="2:6" x14ac:dyDescent="0.2">
      <c r="B1893" s="129"/>
      <c r="C1893" s="129"/>
      <c r="D1893" s="129"/>
      <c r="E1893" s="129"/>
      <c r="F1893" s="129"/>
    </row>
    <row r="1894" spans="2:6" x14ac:dyDescent="0.2">
      <c r="B1894" s="129"/>
      <c r="C1894" s="129"/>
      <c r="D1894" s="129"/>
      <c r="E1894" s="129"/>
      <c r="F1894" s="129"/>
    </row>
    <row r="1895" spans="2:6" x14ac:dyDescent="0.2">
      <c r="B1895" s="129"/>
      <c r="C1895" s="129"/>
      <c r="D1895" s="129"/>
      <c r="E1895" s="129"/>
      <c r="F1895" s="129"/>
    </row>
    <row r="1896" spans="2:6" x14ac:dyDescent="0.2">
      <c r="B1896" s="129"/>
      <c r="C1896" s="129"/>
      <c r="D1896" s="129"/>
      <c r="E1896" s="129"/>
      <c r="F1896" s="129"/>
    </row>
    <row r="1897" spans="2:6" x14ac:dyDescent="0.2">
      <c r="B1897" s="129"/>
      <c r="C1897" s="129"/>
      <c r="D1897" s="129"/>
      <c r="E1897" s="129"/>
      <c r="F1897" s="129"/>
    </row>
    <row r="1898" spans="2:6" x14ac:dyDescent="0.2">
      <c r="B1898" s="129"/>
      <c r="C1898" s="129"/>
      <c r="D1898" s="129"/>
      <c r="E1898" s="129"/>
      <c r="F1898" s="129"/>
    </row>
    <row r="1899" spans="2:6" x14ac:dyDescent="0.2">
      <c r="B1899" s="129"/>
      <c r="C1899" s="129"/>
      <c r="D1899" s="129"/>
      <c r="E1899" s="129"/>
      <c r="F1899" s="129"/>
    </row>
    <row r="1900" spans="2:6" x14ac:dyDescent="0.2">
      <c r="B1900" s="129"/>
      <c r="C1900" s="129"/>
      <c r="D1900" s="129"/>
      <c r="E1900" s="129"/>
      <c r="F1900" s="129"/>
    </row>
    <row r="1901" spans="2:6" x14ac:dyDescent="0.2">
      <c r="B1901" s="129"/>
      <c r="C1901" s="129"/>
      <c r="D1901" s="129"/>
      <c r="E1901" s="129"/>
      <c r="F1901" s="129"/>
    </row>
    <row r="1902" spans="2:6" x14ac:dyDescent="0.2">
      <c r="B1902" s="129"/>
      <c r="C1902" s="129"/>
      <c r="D1902" s="129"/>
      <c r="E1902" s="129"/>
      <c r="F1902" s="129"/>
    </row>
    <row r="1903" spans="2:6" x14ac:dyDescent="0.2">
      <c r="B1903" s="129"/>
      <c r="C1903" s="129"/>
      <c r="D1903" s="129"/>
      <c r="E1903" s="129"/>
      <c r="F1903" s="129"/>
    </row>
    <row r="1904" spans="2:6" x14ac:dyDescent="0.2">
      <c r="B1904" s="129"/>
      <c r="C1904" s="129"/>
      <c r="D1904" s="129"/>
      <c r="E1904" s="129"/>
      <c r="F1904" s="129"/>
    </row>
    <row r="1905" spans="2:6" x14ac:dyDescent="0.2">
      <c r="B1905" s="129"/>
      <c r="C1905" s="129"/>
      <c r="D1905" s="129"/>
      <c r="E1905" s="129"/>
      <c r="F1905" s="129"/>
    </row>
    <row r="1906" spans="2:6" x14ac:dyDescent="0.2">
      <c r="B1906" s="129"/>
      <c r="C1906" s="129"/>
      <c r="D1906" s="129"/>
      <c r="E1906" s="129"/>
      <c r="F1906" s="129"/>
    </row>
    <row r="1907" spans="2:6" x14ac:dyDescent="0.2">
      <c r="B1907" s="129"/>
      <c r="C1907" s="129"/>
      <c r="D1907" s="129"/>
      <c r="E1907" s="129"/>
      <c r="F1907" s="129"/>
    </row>
    <row r="1908" spans="2:6" x14ac:dyDescent="0.2">
      <c r="B1908" s="129"/>
      <c r="C1908" s="129"/>
      <c r="D1908" s="129"/>
      <c r="E1908" s="129"/>
      <c r="F1908" s="129"/>
    </row>
    <row r="1909" spans="2:6" x14ac:dyDescent="0.2">
      <c r="B1909" s="129"/>
      <c r="C1909" s="129"/>
      <c r="D1909" s="129"/>
      <c r="E1909" s="129"/>
      <c r="F1909" s="129"/>
    </row>
    <row r="1910" spans="2:6" x14ac:dyDescent="0.2">
      <c r="B1910" s="129"/>
      <c r="C1910" s="129"/>
      <c r="D1910" s="129"/>
      <c r="E1910" s="129"/>
      <c r="F1910" s="129"/>
    </row>
    <row r="1911" spans="2:6" x14ac:dyDescent="0.2">
      <c r="B1911" s="129"/>
      <c r="C1911" s="129"/>
      <c r="D1911" s="129"/>
      <c r="E1911" s="129"/>
      <c r="F1911" s="129"/>
    </row>
    <row r="1912" spans="2:6" x14ac:dyDescent="0.2">
      <c r="B1912" s="129"/>
      <c r="C1912" s="129"/>
      <c r="D1912" s="129"/>
      <c r="E1912" s="129"/>
      <c r="F1912" s="129"/>
    </row>
    <row r="1913" spans="2:6" x14ac:dyDescent="0.2">
      <c r="B1913" s="129"/>
      <c r="C1913" s="129"/>
      <c r="D1913" s="129"/>
      <c r="E1913" s="129"/>
      <c r="F1913" s="129"/>
    </row>
    <row r="1914" spans="2:6" x14ac:dyDescent="0.2">
      <c r="B1914" s="129"/>
      <c r="C1914" s="129"/>
      <c r="D1914" s="129"/>
      <c r="E1914" s="129"/>
      <c r="F1914" s="129"/>
    </row>
    <row r="1915" spans="2:6" x14ac:dyDescent="0.2">
      <c r="B1915" s="129"/>
      <c r="C1915" s="129"/>
      <c r="D1915" s="129"/>
      <c r="E1915" s="129"/>
      <c r="F1915" s="129"/>
    </row>
    <row r="1916" spans="2:6" x14ac:dyDescent="0.2">
      <c r="B1916" s="129"/>
      <c r="C1916" s="129"/>
      <c r="D1916" s="129"/>
      <c r="E1916" s="129"/>
      <c r="F1916" s="129"/>
    </row>
    <row r="1917" spans="2:6" x14ac:dyDescent="0.2">
      <c r="B1917" s="129"/>
      <c r="C1917" s="129"/>
      <c r="D1917" s="129"/>
      <c r="E1917" s="129"/>
      <c r="F1917" s="129"/>
    </row>
    <row r="1918" spans="2:6" x14ac:dyDescent="0.2">
      <c r="B1918" s="129"/>
      <c r="C1918" s="129"/>
      <c r="D1918" s="129"/>
      <c r="E1918" s="129"/>
      <c r="F1918" s="129"/>
    </row>
    <row r="1919" spans="2:6" x14ac:dyDescent="0.2">
      <c r="B1919" s="129"/>
      <c r="C1919" s="129"/>
      <c r="D1919" s="129"/>
      <c r="E1919" s="129"/>
      <c r="F1919" s="129"/>
    </row>
    <row r="1920" spans="2:6" x14ac:dyDescent="0.2">
      <c r="B1920" s="129"/>
      <c r="C1920" s="129"/>
      <c r="D1920" s="129"/>
      <c r="E1920" s="129"/>
      <c r="F1920" s="129"/>
    </row>
    <row r="1921" spans="2:6" x14ac:dyDescent="0.2">
      <c r="B1921" s="129"/>
      <c r="C1921" s="129"/>
      <c r="D1921" s="129"/>
      <c r="E1921" s="129"/>
      <c r="F1921" s="129"/>
    </row>
    <row r="1922" spans="2:6" x14ac:dyDescent="0.2">
      <c r="B1922" s="129"/>
      <c r="C1922" s="129"/>
      <c r="D1922" s="129"/>
      <c r="E1922" s="129"/>
      <c r="F1922" s="129"/>
    </row>
    <row r="1923" spans="2:6" x14ac:dyDescent="0.2">
      <c r="B1923" s="129"/>
      <c r="C1923" s="129"/>
      <c r="D1923" s="129"/>
      <c r="E1923" s="129"/>
      <c r="F1923" s="129"/>
    </row>
    <row r="1924" spans="2:6" x14ac:dyDescent="0.2">
      <c r="B1924" s="129"/>
      <c r="C1924" s="129"/>
      <c r="D1924" s="129"/>
      <c r="E1924" s="129"/>
      <c r="F1924" s="129"/>
    </row>
    <row r="1925" spans="2:6" x14ac:dyDescent="0.2">
      <c r="B1925" s="129"/>
      <c r="C1925" s="129"/>
      <c r="D1925" s="129"/>
      <c r="E1925" s="129"/>
      <c r="F1925" s="129"/>
    </row>
    <row r="1926" spans="2:6" x14ac:dyDescent="0.2">
      <c r="B1926" s="129"/>
      <c r="C1926" s="129"/>
      <c r="D1926" s="129"/>
      <c r="E1926" s="129"/>
      <c r="F1926" s="129"/>
    </row>
    <row r="1927" spans="2:6" x14ac:dyDescent="0.2">
      <c r="B1927" s="129"/>
      <c r="C1927" s="129"/>
      <c r="D1927" s="129"/>
      <c r="E1927" s="129"/>
      <c r="F1927" s="129"/>
    </row>
    <row r="1928" spans="2:6" x14ac:dyDescent="0.2">
      <c r="B1928" s="129"/>
      <c r="C1928" s="129"/>
      <c r="D1928" s="129"/>
      <c r="E1928" s="129"/>
      <c r="F1928" s="129"/>
    </row>
    <row r="1929" spans="2:6" x14ac:dyDescent="0.2">
      <c r="B1929" s="129"/>
      <c r="C1929" s="129"/>
      <c r="D1929" s="129"/>
      <c r="E1929" s="129"/>
      <c r="F1929" s="129"/>
    </row>
    <row r="1930" spans="2:6" x14ac:dyDescent="0.2">
      <c r="B1930" s="129"/>
      <c r="C1930" s="129"/>
      <c r="D1930" s="129"/>
      <c r="E1930" s="129"/>
      <c r="F1930" s="129"/>
    </row>
    <row r="1931" spans="2:6" x14ac:dyDescent="0.2">
      <c r="B1931" s="129"/>
      <c r="C1931" s="129"/>
      <c r="D1931" s="129"/>
      <c r="E1931" s="129"/>
      <c r="F1931" s="129"/>
    </row>
    <row r="1932" spans="2:6" x14ac:dyDescent="0.2">
      <c r="B1932" s="129"/>
      <c r="C1932" s="129"/>
      <c r="D1932" s="129"/>
      <c r="E1932" s="129"/>
      <c r="F1932" s="129"/>
    </row>
    <row r="1933" spans="2:6" x14ac:dyDescent="0.2">
      <c r="B1933" s="129"/>
      <c r="C1933" s="129"/>
      <c r="D1933" s="129"/>
      <c r="E1933" s="129"/>
      <c r="F1933" s="129"/>
    </row>
    <row r="1934" spans="2:6" x14ac:dyDescent="0.2">
      <c r="B1934" s="129"/>
      <c r="C1934" s="129"/>
      <c r="D1934" s="129"/>
      <c r="E1934" s="129"/>
      <c r="F1934" s="129"/>
    </row>
    <row r="1935" spans="2:6" x14ac:dyDescent="0.2">
      <c r="B1935" s="129"/>
      <c r="C1935" s="129"/>
      <c r="D1935" s="129"/>
      <c r="E1935" s="129"/>
      <c r="F1935" s="129"/>
    </row>
    <row r="1936" spans="2:6" x14ac:dyDescent="0.2">
      <c r="B1936" s="129"/>
      <c r="C1936" s="129"/>
      <c r="D1936" s="129"/>
      <c r="E1936" s="129"/>
      <c r="F1936" s="129"/>
    </row>
    <row r="1937" spans="2:6" x14ac:dyDescent="0.2">
      <c r="B1937" s="129"/>
      <c r="C1937" s="129"/>
      <c r="D1937" s="129"/>
      <c r="E1937" s="129"/>
      <c r="F1937" s="129"/>
    </row>
    <row r="1938" spans="2:6" x14ac:dyDescent="0.2">
      <c r="B1938" s="129"/>
      <c r="C1938" s="129"/>
      <c r="D1938" s="129"/>
      <c r="E1938" s="129"/>
      <c r="F1938" s="129"/>
    </row>
    <row r="1939" spans="2:6" x14ac:dyDescent="0.2">
      <c r="B1939" s="129"/>
      <c r="C1939" s="129"/>
      <c r="D1939" s="129"/>
      <c r="E1939" s="129"/>
      <c r="F1939" s="129"/>
    </row>
    <row r="1940" spans="2:6" x14ac:dyDescent="0.2">
      <c r="B1940" s="129"/>
      <c r="C1940" s="129"/>
      <c r="D1940" s="129"/>
      <c r="E1940" s="129"/>
      <c r="F1940" s="129"/>
    </row>
    <row r="1941" spans="2:6" x14ac:dyDescent="0.2">
      <c r="B1941" s="129"/>
      <c r="C1941" s="129"/>
      <c r="D1941" s="129"/>
      <c r="E1941" s="129"/>
      <c r="F1941" s="129"/>
    </row>
    <row r="1942" spans="2:6" x14ac:dyDescent="0.2">
      <c r="B1942" s="129"/>
      <c r="C1942" s="129"/>
      <c r="D1942" s="129"/>
      <c r="E1942" s="129"/>
      <c r="F1942" s="129"/>
    </row>
    <row r="1943" spans="2:6" x14ac:dyDescent="0.2">
      <c r="B1943" s="129"/>
      <c r="C1943" s="129"/>
      <c r="D1943" s="129"/>
      <c r="E1943" s="129"/>
      <c r="F1943" s="129"/>
    </row>
    <row r="1944" spans="2:6" x14ac:dyDescent="0.2">
      <c r="B1944" s="129"/>
      <c r="C1944" s="129"/>
      <c r="D1944" s="129"/>
      <c r="E1944" s="129"/>
      <c r="F1944" s="129"/>
    </row>
    <row r="1945" spans="2:6" x14ac:dyDescent="0.2">
      <c r="B1945" s="129"/>
      <c r="C1945" s="129"/>
      <c r="D1945" s="129"/>
      <c r="E1945" s="129"/>
      <c r="F1945" s="129"/>
    </row>
    <row r="1946" spans="2:6" x14ac:dyDescent="0.2">
      <c r="B1946" s="129"/>
      <c r="C1946" s="129"/>
      <c r="D1946" s="129"/>
      <c r="E1946" s="129"/>
      <c r="F1946" s="129"/>
    </row>
    <row r="1947" spans="2:6" x14ac:dyDescent="0.2">
      <c r="B1947" s="129"/>
      <c r="C1947" s="129"/>
      <c r="D1947" s="129"/>
      <c r="E1947" s="129"/>
      <c r="F1947" s="129"/>
    </row>
    <row r="1948" spans="2:6" x14ac:dyDescent="0.2">
      <c r="B1948" s="129"/>
      <c r="C1948" s="129"/>
      <c r="D1948" s="129"/>
      <c r="E1948" s="129"/>
      <c r="F1948" s="129"/>
    </row>
    <row r="1949" spans="2:6" x14ac:dyDescent="0.2">
      <c r="B1949" s="129"/>
      <c r="C1949" s="129"/>
      <c r="D1949" s="129"/>
      <c r="E1949" s="129"/>
      <c r="F1949" s="129"/>
    </row>
    <row r="1950" spans="2:6" x14ac:dyDescent="0.2">
      <c r="B1950" s="129"/>
      <c r="C1950" s="129"/>
      <c r="D1950" s="129"/>
      <c r="E1950" s="129"/>
      <c r="F1950" s="129"/>
    </row>
    <row r="1951" spans="2:6" x14ac:dyDescent="0.2">
      <c r="B1951" s="129"/>
      <c r="C1951" s="129"/>
      <c r="D1951" s="129"/>
      <c r="E1951" s="129"/>
      <c r="F1951" s="129"/>
    </row>
    <row r="1952" spans="2:6" x14ac:dyDescent="0.2">
      <c r="B1952" s="129"/>
      <c r="C1952" s="129"/>
      <c r="D1952" s="129"/>
      <c r="E1952" s="129"/>
      <c r="F1952" s="129"/>
    </row>
    <row r="1953" spans="2:6" x14ac:dyDescent="0.2">
      <c r="B1953" s="129"/>
      <c r="C1953" s="129"/>
      <c r="D1953" s="129"/>
      <c r="E1953" s="129"/>
      <c r="F1953" s="129"/>
    </row>
    <row r="1954" spans="2:6" x14ac:dyDescent="0.2">
      <c r="B1954" s="129"/>
      <c r="C1954" s="129"/>
      <c r="D1954" s="129"/>
      <c r="E1954" s="129"/>
      <c r="F1954" s="129"/>
    </row>
    <row r="1955" spans="2:6" x14ac:dyDescent="0.2">
      <c r="B1955" s="129"/>
      <c r="C1955" s="129"/>
      <c r="D1955" s="129"/>
      <c r="E1955" s="129"/>
      <c r="F1955" s="129"/>
    </row>
    <row r="1956" spans="2:6" x14ac:dyDescent="0.2">
      <c r="B1956" s="129"/>
      <c r="C1956" s="129"/>
      <c r="D1956" s="129"/>
      <c r="E1956" s="129"/>
      <c r="F1956" s="129"/>
    </row>
    <row r="1957" spans="2:6" x14ac:dyDescent="0.2">
      <c r="B1957" s="129"/>
      <c r="C1957" s="129"/>
      <c r="D1957" s="129"/>
      <c r="E1957" s="129"/>
      <c r="F1957" s="129"/>
    </row>
    <row r="1958" spans="2:6" x14ac:dyDescent="0.2">
      <c r="B1958" s="129"/>
      <c r="C1958" s="129"/>
      <c r="D1958" s="129"/>
      <c r="E1958" s="129"/>
      <c r="F1958" s="129"/>
    </row>
    <row r="1959" spans="2:6" x14ac:dyDescent="0.2">
      <c r="B1959" s="129"/>
      <c r="C1959" s="129"/>
      <c r="D1959" s="129"/>
      <c r="E1959" s="129"/>
      <c r="F1959" s="129"/>
    </row>
    <row r="1960" spans="2:6" x14ac:dyDescent="0.2">
      <c r="B1960" s="129"/>
      <c r="C1960" s="129"/>
      <c r="D1960" s="129"/>
      <c r="E1960" s="129"/>
      <c r="F1960" s="129"/>
    </row>
    <row r="1961" spans="2:6" x14ac:dyDescent="0.2">
      <c r="B1961" s="129"/>
      <c r="C1961" s="129"/>
      <c r="D1961" s="129"/>
      <c r="E1961" s="129"/>
      <c r="F1961" s="129"/>
    </row>
    <row r="1962" spans="2:6" x14ac:dyDescent="0.2">
      <c r="B1962" s="129"/>
      <c r="C1962" s="129"/>
      <c r="D1962" s="129"/>
      <c r="E1962" s="129"/>
      <c r="F1962" s="129"/>
    </row>
    <row r="1963" spans="2:6" x14ac:dyDescent="0.2">
      <c r="B1963" s="129"/>
      <c r="C1963" s="129"/>
      <c r="D1963" s="129"/>
      <c r="E1963" s="129"/>
      <c r="F1963" s="129"/>
    </row>
    <row r="1964" spans="2:6" x14ac:dyDescent="0.2">
      <c r="B1964" s="129"/>
      <c r="C1964" s="129"/>
      <c r="D1964" s="129"/>
      <c r="E1964" s="129"/>
      <c r="F1964" s="129"/>
    </row>
    <row r="1965" spans="2:6" x14ac:dyDescent="0.2">
      <c r="B1965" s="129"/>
      <c r="C1965" s="129"/>
      <c r="D1965" s="129"/>
      <c r="E1965" s="129"/>
      <c r="F1965" s="129"/>
    </row>
    <row r="1966" spans="2:6" x14ac:dyDescent="0.2">
      <c r="B1966" s="129"/>
      <c r="C1966" s="129"/>
      <c r="D1966" s="129"/>
      <c r="E1966" s="129"/>
      <c r="F1966" s="129"/>
    </row>
    <row r="1967" spans="2:6" x14ac:dyDescent="0.2">
      <c r="B1967" s="129"/>
      <c r="C1967" s="129"/>
      <c r="D1967" s="129"/>
      <c r="E1967" s="129"/>
      <c r="F1967" s="129"/>
    </row>
    <row r="1968" spans="2:6" x14ac:dyDescent="0.2">
      <c r="B1968" s="129"/>
      <c r="C1968" s="129"/>
      <c r="D1968" s="129"/>
      <c r="E1968" s="129"/>
      <c r="F1968" s="129"/>
    </row>
  </sheetData>
  <sheetProtection algorithmName="SHA-512" hashValue="ILpisMsoIl1CGPV5nvVVXcKkSc0oLx1NxgrfPk5b0Rir5QhVCPQds16INnt/021SYKCMagYPdPk8Z6JPGEdxrw==" saltValue="IzfFjKN/LHC2doPyhZjzog==" spinCount="100000" sheet="1" objects="1" scenarios="1"/>
  <mergeCells count="2">
    <mergeCell ref="B2:E2"/>
    <mergeCell ref="B24:E25"/>
  </mergeCells>
  <pageMargins left="0.75" right="0.75" top="1" bottom="1" header="0.5" footer="0.5"/>
  <pageSetup orientation="portrait" horizontalDpi="4294967293"/>
  <headerFooter alignWithMargins="0"/>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R94"/>
  <sheetViews>
    <sheetView topLeftCell="A28" zoomScaleNormal="100" workbookViewId="0">
      <selection activeCell="D49" sqref="D49"/>
    </sheetView>
  </sheetViews>
  <sheetFormatPr defaultColWidth="11.42578125" defaultRowHeight="12.75" x14ac:dyDescent="0.2"/>
  <cols>
    <col min="1" max="1" width="11.42578125" style="67"/>
    <col min="2" max="2" width="37.28515625" style="1" customWidth="1"/>
    <col min="3" max="3" width="24.28515625" style="1" customWidth="1"/>
    <col min="4" max="4" width="23" style="1" customWidth="1"/>
    <col min="5" max="5" width="24.28515625" style="1" customWidth="1"/>
    <col min="6" max="6" width="25.140625" style="1" customWidth="1"/>
    <col min="7" max="7" width="8" style="1" customWidth="1"/>
    <col min="8" max="8" width="14.85546875" style="1" customWidth="1"/>
    <col min="9" max="9" width="12.7109375" style="1" bestFit="1" customWidth="1"/>
    <col min="10" max="10" width="10.28515625" style="1" customWidth="1"/>
    <col min="11" max="11" width="9.7109375" style="1" bestFit="1" customWidth="1"/>
    <col min="12" max="12" width="9.140625" style="1" customWidth="1"/>
    <col min="13" max="13" width="10" style="1" customWidth="1"/>
    <col min="14" max="14" width="11.42578125" style="67"/>
    <col min="15" max="15" width="29.5703125" style="67" customWidth="1"/>
    <col min="16" max="16384" width="11.42578125" style="67"/>
  </cols>
  <sheetData>
    <row r="1" spans="2:44" ht="13.5" customHeight="1" x14ac:dyDescent="0.2">
      <c r="B1" s="145"/>
      <c r="C1" s="146"/>
      <c r="D1" s="146"/>
      <c r="E1" s="146"/>
      <c r="F1" s="146"/>
      <c r="G1" s="146"/>
      <c r="K1" s="147"/>
      <c r="L1" s="148"/>
      <c r="M1" s="14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row>
    <row r="2" spans="2:44" ht="18" x14ac:dyDescent="0.25">
      <c r="B2" s="567" t="s">
        <v>315</v>
      </c>
      <c r="C2" s="567"/>
      <c r="D2" s="567"/>
      <c r="E2" s="567"/>
      <c r="F2" s="567"/>
      <c r="J2" s="147"/>
      <c r="K2" s="148"/>
      <c r="L2" s="67"/>
      <c r="M2" s="67"/>
    </row>
    <row r="3" spans="2:44" x14ac:dyDescent="0.2">
      <c r="B3" s="21"/>
      <c r="C3" s="21"/>
      <c r="D3" s="21"/>
      <c r="E3" s="21"/>
      <c r="F3" s="21"/>
      <c r="M3" s="149"/>
      <c r="N3" s="150"/>
      <c r="O3" s="151"/>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row>
    <row r="4" spans="2:44" ht="19.5" customHeight="1" x14ac:dyDescent="0.2">
      <c r="B4" s="587" t="s">
        <v>185</v>
      </c>
      <c r="C4" s="587"/>
      <c r="D4" s="587"/>
      <c r="E4" s="587"/>
      <c r="F4" s="587"/>
      <c r="N4" s="151"/>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row>
    <row r="5" spans="2:44" x14ac:dyDescent="0.2">
      <c r="B5" s="218"/>
      <c r="C5" s="588" t="s">
        <v>362</v>
      </c>
      <c r="D5" s="588"/>
      <c r="E5" s="298" t="s">
        <v>285</v>
      </c>
      <c r="F5" s="298" t="s">
        <v>35</v>
      </c>
      <c r="N5" s="76"/>
      <c r="O5" s="76"/>
      <c r="P5" s="76"/>
      <c r="Q5" s="76"/>
      <c r="R5" s="76"/>
      <c r="S5" s="76"/>
      <c r="T5" s="76"/>
      <c r="U5" s="76"/>
      <c r="V5" s="76"/>
      <c r="W5" s="76"/>
      <c r="X5" s="76"/>
      <c r="Y5" s="76"/>
      <c r="Z5" s="76"/>
      <c r="AA5" s="76"/>
      <c r="AB5" s="76"/>
      <c r="AC5" s="76"/>
      <c r="AD5" s="76"/>
      <c r="AE5" s="76"/>
      <c r="AF5" s="76"/>
      <c r="AG5" s="76"/>
      <c r="AH5" s="76"/>
      <c r="AI5" s="76"/>
      <c r="AJ5" s="76"/>
      <c r="AK5" s="76"/>
      <c r="AL5" s="76"/>
      <c r="AM5" s="76"/>
    </row>
    <row r="6" spans="2:44" ht="15" customHeight="1" x14ac:dyDescent="0.25">
      <c r="B6" s="191" t="s">
        <v>286</v>
      </c>
      <c r="C6" s="192">
        <f>+'05 Mass rearing Facility'!D8</f>
        <v>7.1903662389277736</v>
      </c>
      <c r="D6" s="193">
        <v>1</v>
      </c>
      <c r="E6" s="242">
        <v>2</v>
      </c>
      <c r="F6" s="194">
        <f>+IF(E6&lt;&gt;"",E6*D6,"")</f>
        <v>2</v>
      </c>
      <c r="N6" s="76"/>
      <c r="O6" s="76"/>
      <c r="P6" s="76"/>
      <c r="Q6" s="76"/>
      <c r="R6" s="76"/>
      <c r="S6" s="76"/>
      <c r="T6" s="76"/>
      <c r="U6" s="76"/>
      <c r="V6" s="76"/>
      <c r="W6" s="76"/>
      <c r="X6" s="76"/>
      <c r="Y6" s="76"/>
      <c r="Z6" s="76"/>
      <c r="AA6" s="76"/>
      <c r="AB6" s="76"/>
      <c r="AC6" s="76"/>
      <c r="AD6" s="76"/>
      <c r="AE6" s="76"/>
      <c r="AF6" s="76"/>
      <c r="AG6" s="76"/>
      <c r="AH6" s="76"/>
      <c r="AI6" s="76"/>
      <c r="AJ6" s="76"/>
      <c r="AK6" s="76"/>
      <c r="AL6" s="76"/>
      <c r="AM6" s="76"/>
    </row>
    <row r="7" spans="2:44" ht="15" x14ac:dyDescent="0.25">
      <c r="B7" s="191" t="s">
        <v>287</v>
      </c>
      <c r="C7" s="195">
        <f>+Number_of_MO_larval_trays_to_be_loaded_with_L1_per_day+'05 Mass rearing Facility'!C10+'05 Mass rearing Facility'!C11</f>
        <v>31</v>
      </c>
      <c r="D7" s="196">
        <f>+number_of_MO_racks_to_hold_the_trays_seeded_with_eggs_everyday</f>
        <v>1</v>
      </c>
      <c r="E7" s="243">
        <v>0.45</v>
      </c>
      <c r="F7" s="194">
        <f t="shared" ref="F7:F23" si="0">+IF(E7&lt;&gt;"",E7*D7,"")</f>
        <v>0.45</v>
      </c>
      <c r="N7" s="76"/>
      <c r="O7" s="76"/>
      <c r="P7" s="76"/>
      <c r="Q7" s="76"/>
      <c r="R7" s="76"/>
      <c r="S7" s="76"/>
      <c r="T7" s="76"/>
      <c r="U7" s="76"/>
      <c r="V7" s="76"/>
      <c r="W7" s="76"/>
      <c r="X7" s="76"/>
      <c r="Y7" s="76"/>
      <c r="Z7" s="76"/>
      <c r="AA7" s="76"/>
      <c r="AB7" s="76"/>
      <c r="AC7" s="76"/>
      <c r="AD7" s="76"/>
      <c r="AE7" s="76"/>
      <c r="AF7" s="76"/>
      <c r="AG7" s="76"/>
      <c r="AH7" s="76"/>
      <c r="AI7" s="76"/>
      <c r="AJ7" s="76"/>
      <c r="AK7" s="76"/>
      <c r="AL7" s="76"/>
      <c r="AM7" s="76"/>
    </row>
    <row r="8" spans="2:44" ht="13.5" customHeight="1" x14ac:dyDescent="0.25">
      <c r="B8" s="191" t="s">
        <v>288</v>
      </c>
      <c r="C8" s="195">
        <f>+Number_of_MO_larval_trays_to_be_loaded_with_L1_per_day</f>
        <v>31</v>
      </c>
      <c r="D8" s="196">
        <f>+number_of_MO_racks_to_hold_the_trays_seeded_with_eggs_everyday</f>
        <v>1</v>
      </c>
      <c r="E8" s="243">
        <v>0.25</v>
      </c>
      <c r="F8" s="194">
        <f t="shared" si="0"/>
        <v>0.25</v>
      </c>
      <c r="N8" s="76"/>
      <c r="O8" s="76"/>
      <c r="P8" s="76"/>
      <c r="Q8" s="76"/>
      <c r="R8" s="76"/>
      <c r="S8" s="76"/>
      <c r="T8" s="76"/>
      <c r="U8" s="76"/>
      <c r="V8" s="76"/>
      <c r="W8" s="76"/>
      <c r="X8" s="76"/>
      <c r="Y8" s="76"/>
      <c r="Z8" s="76"/>
      <c r="AA8" s="76"/>
      <c r="AB8" s="76"/>
      <c r="AC8" s="76"/>
      <c r="AD8" s="76"/>
      <c r="AE8" s="76"/>
      <c r="AF8" s="76"/>
      <c r="AG8" s="76"/>
      <c r="AH8" s="76"/>
      <c r="AI8" s="76"/>
      <c r="AJ8" s="76"/>
      <c r="AK8" s="76"/>
      <c r="AL8" s="76"/>
      <c r="AM8" s="76"/>
    </row>
    <row r="9" spans="2:44" ht="13.5" customHeight="1" x14ac:dyDescent="0.25">
      <c r="B9" s="191" t="s">
        <v>363</v>
      </c>
      <c r="C9" s="476">
        <f>+'05 Mass rearing Facility'!C10+'05 Mass rearing Facility'!C11</f>
        <v>0</v>
      </c>
      <c r="D9" s="196">
        <f>+'05 Mass rearing Facility'!D10+'05 Mass rearing Facility'!D11</f>
        <v>0</v>
      </c>
      <c r="E9" s="243">
        <v>0.05</v>
      </c>
      <c r="F9" s="194"/>
      <c r="N9" s="76"/>
      <c r="O9" s="76"/>
      <c r="P9" s="76"/>
      <c r="Q9" s="76"/>
      <c r="R9" s="76"/>
      <c r="S9" s="76"/>
      <c r="T9" s="76"/>
      <c r="U9" s="76"/>
      <c r="V9" s="76"/>
      <c r="W9" s="76"/>
      <c r="X9" s="76"/>
      <c r="Y9" s="76"/>
      <c r="Z9" s="76"/>
      <c r="AA9" s="76"/>
      <c r="AB9" s="76"/>
      <c r="AC9" s="76"/>
      <c r="AD9" s="76"/>
      <c r="AE9" s="76"/>
      <c r="AF9" s="76"/>
      <c r="AG9" s="76"/>
      <c r="AH9" s="76"/>
      <c r="AI9" s="76"/>
      <c r="AJ9" s="76"/>
      <c r="AK9" s="76"/>
      <c r="AL9" s="76"/>
      <c r="AM9" s="76"/>
    </row>
    <row r="10" spans="2:44" ht="15" x14ac:dyDescent="0.25">
      <c r="B10" s="191" t="s">
        <v>312</v>
      </c>
      <c r="C10" s="195">
        <f>+Number_of_MO_larval_trays_to_be_loaded_with_L1_per_day*(COUNTIF('06 Diet formulation'!C15:C20,"&gt;0"))</f>
        <v>186</v>
      </c>
      <c r="D10" s="196">
        <f>+number_of_MO_racks_to_hold_the_trays_seeded_with_eggs_everyday</f>
        <v>1</v>
      </c>
      <c r="E10" s="243">
        <v>0.25</v>
      </c>
      <c r="F10" s="194">
        <f t="shared" si="0"/>
        <v>0.25</v>
      </c>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row>
    <row r="11" spans="2:44" ht="15" x14ac:dyDescent="0.25">
      <c r="B11" s="191" t="s">
        <v>310</v>
      </c>
      <c r="C11" s="195">
        <f>+Number_of_MO_larval_trays_to_be_loaded_with_L1_per_day</f>
        <v>31</v>
      </c>
      <c r="D11" s="196">
        <f>+number_of_MO_racks_to_hold_the_trays_seeded_with_eggs_everyday</f>
        <v>1</v>
      </c>
      <c r="E11" s="243">
        <v>1</v>
      </c>
      <c r="F11" s="194">
        <f t="shared" si="0"/>
        <v>1</v>
      </c>
      <c r="I11" s="148"/>
      <c r="J11" s="151"/>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row>
    <row r="12" spans="2:44" ht="15" x14ac:dyDescent="0.25">
      <c r="B12" s="191" t="s">
        <v>311</v>
      </c>
      <c r="C12" s="197">
        <f>+'09 Rearing Equip.'!C36</f>
        <v>0.4099949052631579</v>
      </c>
      <c r="D12" s="196">
        <f>+D11</f>
        <v>1</v>
      </c>
      <c r="E12" s="477">
        <f>1/'09 Rearing Equip.'!C38</f>
        <v>10</v>
      </c>
      <c r="F12" s="194">
        <f>+IF(E12&lt;&gt;"",E12*C12,"")</f>
        <v>4.0999490526315787</v>
      </c>
      <c r="I12" s="148"/>
      <c r="J12" s="151"/>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row>
    <row r="13" spans="2:44" ht="15" x14ac:dyDescent="0.25">
      <c r="B13" s="191" t="s">
        <v>36</v>
      </c>
      <c r="C13" s="195">
        <f>+Number_of_MO_larval_trays_to_be_loaded_with_L1_per_day</f>
        <v>31</v>
      </c>
      <c r="D13" s="198"/>
      <c r="E13" s="478">
        <f>+'09 Rearing Equip.'!C90</f>
        <v>200</v>
      </c>
      <c r="F13" s="194">
        <f>+IF(E13&lt;&gt;"",C13/E13,"")</f>
        <v>0.155</v>
      </c>
      <c r="G13" s="12"/>
      <c r="H13" s="12"/>
      <c r="I13" s="148"/>
      <c r="J13" s="151"/>
      <c r="K13" s="76"/>
      <c r="L13" s="76"/>
      <c r="M13" s="76"/>
      <c r="N13" s="76"/>
      <c r="O13" s="151"/>
      <c r="P13" s="76"/>
      <c r="Q13" s="76"/>
      <c r="R13" s="76"/>
      <c r="S13" s="76"/>
      <c r="T13" s="76"/>
      <c r="U13" s="76"/>
      <c r="V13" s="76"/>
      <c r="W13" s="76"/>
      <c r="X13" s="76"/>
      <c r="Y13" s="76"/>
      <c r="Z13" s="76"/>
      <c r="AA13" s="76"/>
      <c r="AB13" s="76"/>
      <c r="AC13" s="76"/>
      <c r="AD13" s="76"/>
      <c r="AE13" s="76"/>
      <c r="AF13" s="76"/>
      <c r="AG13" s="76"/>
      <c r="AH13" s="76"/>
      <c r="AI13" s="76"/>
      <c r="AJ13" s="76"/>
      <c r="AK13" s="76"/>
      <c r="AL13" s="76"/>
      <c r="AM13" s="76"/>
    </row>
    <row r="14" spans="2:44" ht="15" x14ac:dyDescent="0.25">
      <c r="B14" s="191" t="s">
        <v>289</v>
      </c>
      <c r="C14" s="199">
        <f>+'09 Rearing Equip.'!C29</f>
        <v>1</v>
      </c>
      <c r="D14" s="200"/>
      <c r="E14" s="479">
        <f>+'09 Rearing Equip.'!C28</f>
        <v>0.35</v>
      </c>
      <c r="F14" s="194">
        <f>+IF(E14&lt;&gt;"",E14*C14,"")</f>
        <v>0.35</v>
      </c>
      <c r="G14" s="12"/>
      <c r="I14" s="148"/>
      <c r="J14" s="151"/>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row>
    <row r="15" spans="2:44" ht="15" x14ac:dyDescent="0.25">
      <c r="B15" s="191" t="s">
        <v>316</v>
      </c>
      <c r="C15" s="199">
        <f>+C14</f>
        <v>1</v>
      </c>
      <c r="D15" s="200"/>
      <c r="E15" s="244">
        <v>0</v>
      </c>
      <c r="F15" s="194">
        <f>+IF(E15&lt;&gt;"",E15*C15,"")</f>
        <v>0</v>
      </c>
      <c r="G15" s="12"/>
      <c r="I15" s="148"/>
      <c r="J15" s="151"/>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row>
    <row r="16" spans="2:44" ht="15" x14ac:dyDescent="0.25">
      <c r="B16" s="191" t="s">
        <v>322</v>
      </c>
      <c r="C16" s="201">
        <f>+Cage_units_to_be_loaded_per_day_to_produce_the_eggs_for_stockpiling</f>
        <v>1</v>
      </c>
      <c r="D16" s="200"/>
      <c r="E16" s="245">
        <v>0.2</v>
      </c>
      <c r="F16" s="194">
        <f>+IF(E16&lt;&gt;"",E16*C16,"")</f>
        <v>0.2</v>
      </c>
      <c r="H16" s="12"/>
      <c r="I16" s="148"/>
      <c r="J16" s="151"/>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row>
    <row r="17" spans="1:39" ht="15" x14ac:dyDescent="0.25">
      <c r="B17" s="191" t="s">
        <v>323</v>
      </c>
      <c r="C17" s="201">
        <f>+'02 Mass rearing Process'!B28</f>
        <v>9.5</v>
      </c>
      <c r="D17" s="200"/>
      <c r="E17" s="245">
        <v>0.05</v>
      </c>
      <c r="F17" s="194">
        <f>+IF(E17&lt;&gt;"",E17*C17,"")</f>
        <v>0.47500000000000003</v>
      </c>
      <c r="I17" s="148"/>
      <c r="J17" s="151"/>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row>
    <row r="18" spans="1:39" ht="15" x14ac:dyDescent="0.25">
      <c r="B18" s="191" t="s">
        <v>314</v>
      </c>
      <c r="C18" s="201">
        <f>+'02 Mass rearing Process'!B33</f>
        <v>4.666666666666667</v>
      </c>
      <c r="D18" s="200"/>
      <c r="E18" s="245">
        <v>0.05</v>
      </c>
      <c r="F18" s="194">
        <f>+IF(E18&lt;&gt;"",E18*C18,"")</f>
        <v>0.23333333333333336</v>
      </c>
      <c r="I18" s="148"/>
      <c r="J18" s="151"/>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row>
    <row r="19" spans="1:39" ht="15" x14ac:dyDescent="0.25">
      <c r="B19" s="191" t="s">
        <v>313</v>
      </c>
      <c r="C19" s="201">
        <f>+C18</f>
        <v>4.666666666666667</v>
      </c>
      <c r="D19" s="202">
        <f>+C6</f>
        <v>7.1903662389277736</v>
      </c>
      <c r="E19" s="245"/>
      <c r="F19" s="194" t="str">
        <f t="shared" si="0"/>
        <v/>
      </c>
      <c r="I19" s="148"/>
      <c r="J19" s="151"/>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row>
    <row r="20" spans="1:39" ht="15" x14ac:dyDescent="0.25">
      <c r="B20" s="191" t="s">
        <v>252</v>
      </c>
      <c r="C20" s="201">
        <f>+C16</f>
        <v>1</v>
      </c>
      <c r="D20" s="200"/>
      <c r="E20" s="480">
        <f>1/'09 Rearing Equip.'!C98</f>
        <v>0.2</v>
      </c>
      <c r="F20" s="194">
        <f>+IF(E20&lt;&gt;"",E20*C20,"")</f>
        <v>0.2</v>
      </c>
      <c r="H20" s="12"/>
      <c r="I20" s="148"/>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row>
    <row r="21" spans="1:39" ht="15" x14ac:dyDescent="0.25">
      <c r="B21" s="191" t="s">
        <v>291</v>
      </c>
      <c r="C21" s="203">
        <f>+'07 Diet requirements'!C11</f>
        <v>23.017500000000002</v>
      </c>
      <c r="D21" s="204">
        <f>+ROUNDUP(C21/'09 Rearing Equip.'!C54,0)</f>
        <v>1</v>
      </c>
      <c r="E21" s="246">
        <v>0.15</v>
      </c>
      <c r="F21" s="194">
        <f t="shared" si="0"/>
        <v>0.15</v>
      </c>
      <c r="I21" s="148"/>
      <c r="J21" s="151"/>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row>
    <row r="22" spans="1:39" ht="15" x14ac:dyDescent="0.25">
      <c r="B22" s="191" t="s">
        <v>292</v>
      </c>
      <c r="C22" s="203">
        <f>+'07 Diet requirements'!C15</f>
        <v>1.1879999999999999</v>
      </c>
      <c r="D22" s="204">
        <f>+ROUNDUP(C22/'09 Rearing Equip.'!C64,0)</f>
        <v>1</v>
      </c>
      <c r="E22" s="246">
        <v>0.1</v>
      </c>
      <c r="F22" s="194">
        <f t="shared" si="0"/>
        <v>0.1</v>
      </c>
      <c r="I22" s="148"/>
      <c r="J22" s="151"/>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row>
    <row r="23" spans="1:39" ht="15" x14ac:dyDescent="0.25">
      <c r="B23" s="191" t="s">
        <v>293</v>
      </c>
      <c r="C23" s="205">
        <f>+'07 Diet requirements'!D22</f>
        <v>1.3387500000000001</v>
      </c>
      <c r="D23" s="452">
        <v>1</v>
      </c>
      <c r="E23" s="247">
        <v>5</v>
      </c>
      <c r="F23" s="194">
        <f t="shared" si="0"/>
        <v>5</v>
      </c>
      <c r="H23" s="12"/>
      <c r="I23" s="148"/>
      <c r="J23" s="151"/>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row>
    <row r="24" spans="1:39" ht="15" x14ac:dyDescent="0.25">
      <c r="B24" s="191" t="s">
        <v>294</v>
      </c>
      <c r="C24" s="206">
        <f>+ROUNDUP(C23/'06 Diet formulation'!C42/7*1000,0)</f>
        <v>2</v>
      </c>
      <c r="D24" s="204"/>
      <c r="E24" s="248">
        <v>0.1</v>
      </c>
      <c r="F24" s="194">
        <f>+IF(E24&lt;&gt;"",E24*C24,"")</f>
        <v>0.2</v>
      </c>
      <c r="I24" s="148"/>
      <c r="J24" s="151"/>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row>
    <row r="25" spans="1:39" x14ac:dyDescent="0.2">
      <c r="B25" s="586" t="s">
        <v>295</v>
      </c>
      <c r="C25" s="586"/>
      <c r="D25" s="586"/>
      <c r="E25" s="586"/>
      <c r="F25" s="219">
        <f>+IF(SUM(F6:F24)&gt;0,SUM(F6:F24),"-")</f>
        <v>15.113282385964908</v>
      </c>
      <c r="I25" s="148"/>
      <c r="J25" s="151"/>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row>
    <row r="26" spans="1:39" x14ac:dyDescent="0.2">
      <c r="A26" s="1"/>
      <c r="E26" s="152" t="s">
        <v>296</v>
      </c>
      <c r="F26" s="249">
        <v>7.5</v>
      </c>
      <c r="H26" s="12"/>
      <c r="I26" s="148"/>
      <c r="J26" s="151"/>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row>
    <row r="27" spans="1:39" x14ac:dyDescent="0.2">
      <c r="A27" s="1"/>
      <c r="E27" s="152" t="s">
        <v>297</v>
      </c>
      <c r="F27" s="153">
        <f>+IF(F25&lt;&gt;"-",ROUNDUP(F25/F26,0),"-")</f>
        <v>3</v>
      </c>
      <c r="I27" s="148"/>
      <c r="J27" s="151"/>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row>
    <row r="28" spans="1:39" x14ac:dyDescent="0.2">
      <c r="A28" s="1"/>
      <c r="E28" s="152" t="s">
        <v>298</v>
      </c>
      <c r="F28" s="210">
        <f>+IF(F25&lt;&gt;"-",ROUNDUP(F27/10,0),"-")</f>
        <v>1</v>
      </c>
      <c r="I28" s="148"/>
      <c r="J28" s="151"/>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row>
    <row r="29" spans="1:39" x14ac:dyDescent="0.2">
      <c r="A29" s="1"/>
      <c r="H29" s="12"/>
      <c r="I29" s="148"/>
      <c r="J29" s="151"/>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row>
    <row r="30" spans="1:39" ht="15.75" x14ac:dyDescent="0.2">
      <c r="A30" s="1"/>
      <c r="B30" s="587" t="s">
        <v>320</v>
      </c>
      <c r="C30" s="587"/>
      <c r="D30" s="587"/>
      <c r="E30" s="587"/>
      <c r="F30" s="587"/>
      <c r="H30" s="12"/>
      <c r="I30" s="148"/>
      <c r="J30" s="151"/>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row>
    <row r="31" spans="1:39" x14ac:dyDescent="0.2">
      <c r="A31" s="1"/>
      <c r="B31" s="218"/>
      <c r="C31" s="588" t="s">
        <v>362</v>
      </c>
      <c r="D31" s="588"/>
      <c r="E31" s="298" t="s">
        <v>285</v>
      </c>
      <c r="F31" s="298" t="s">
        <v>35</v>
      </c>
      <c r="H31" s="12"/>
      <c r="I31" s="148"/>
      <c r="J31" s="151"/>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row>
    <row r="32" spans="1:39" ht="12.75" customHeight="1" x14ac:dyDescent="0.2">
      <c r="B32" s="191" t="s">
        <v>299</v>
      </c>
      <c r="C32" s="201">
        <f>+MO_cages_loaded_per_day</f>
        <v>15</v>
      </c>
      <c r="D32" s="207"/>
      <c r="E32" s="245">
        <v>0.1</v>
      </c>
      <c r="F32" s="194">
        <f>+IF(E32&lt;&gt;"",E32*C32,"")</f>
        <v>1.5</v>
      </c>
      <c r="I32" s="148"/>
      <c r="J32" s="151"/>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row>
    <row r="33" spans="2:44" ht="12.75" customHeight="1" x14ac:dyDescent="0.25">
      <c r="B33" s="191" t="s">
        <v>292</v>
      </c>
      <c r="C33" s="203">
        <f>+'07 Diet requirements'!C16</f>
        <v>13.5</v>
      </c>
      <c r="D33" s="204">
        <f>+ROUNDUP(C33/'09 Rearing Equip.'!C64,0)</f>
        <v>1</v>
      </c>
      <c r="E33" s="451">
        <f>+E22</f>
        <v>0.1</v>
      </c>
      <c r="F33" s="194">
        <f>+IF(E33&lt;&gt;"",E33*D33,"")</f>
        <v>0.1</v>
      </c>
      <c r="I33" s="148"/>
      <c r="J33" s="151"/>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row>
    <row r="34" spans="2:44" x14ac:dyDescent="0.2">
      <c r="B34" s="191" t="s">
        <v>300</v>
      </c>
      <c r="C34" s="201">
        <f>+MO_cages_loaded_per_day</f>
        <v>15</v>
      </c>
      <c r="D34" s="207"/>
      <c r="E34" s="245">
        <v>0.1</v>
      </c>
      <c r="F34" s="194">
        <f>+IF(E34&lt;&gt;"",E34*C34,"")</f>
        <v>1.5</v>
      </c>
      <c r="I34" s="148"/>
      <c r="J34" s="151"/>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row>
    <row r="35" spans="2:44" x14ac:dyDescent="0.2">
      <c r="B35" s="191" t="s">
        <v>301</v>
      </c>
      <c r="C35" s="201">
        <f>+MO_cages_loaded_per_day</f>
        <v>15</v>
      </c>
      <c r="D35" s="207"/>
      <c r="E35" s="245">
        <v>0.15</v>
      </c>
      <c r="F35" s="194">
        <f>+IF(E35&lt;&gt;"",E35*C35,"")</f>
        <v>2.25</v>
      </c>
      <c r="H35" s="12"/>
      <c r="I35" s="148"/>
      <c r="J35" s="151"/>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row>
    <row r="36" spans="2:44" ht="15" x14ac:dyDescent="0.25">
      <c r="B36" s="191" t="s">
        <v>302</v>
      </c>
      <c r="C36" s="201">
        <f>+MO_cages_loaded_per_day</f>
        <v>15</v>
      </c>
      <c r="D36" s="208">
        <f>+C36*'03 Pro Par'!I36/1000000</f>
        <v>0.14399999999999999</v>
      </c>
      <c r="E36" s="245">
        <v>0.1</v>
      </c>
      <c r="F36" s="194">
        <f>+IF(E36&lt;&gt;"",E36*C36,"")</f>
        <v>1.5</v>
      </c>
      <c r="I36" s="148"/>
      <c r="J36" s="151"/>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row>
    <row r="37" spans="2:44" x14ac:dyDescent="0.2">
      <c r="B37" s="191" t="s">
        <v>290</v>
      </c>
      <c r="C37" s="201">
        <f>+ROUNDUP(MO_cages_loaded_per_day/'03 Pro Par'!I33,0)</f>
        <v>6</v>
      </c>
      <c r="D37" s="207"/>
      <c r="E37" s="480">
        <f>1/'09 Rearing Equip.'!C106</f>
        <v>0.1</v>
      </c>
      <c r="F37" s="194">
        <f>+IF(E37&lt;&gt;"",E37*C37,"")</f>
        <v>0.60000000000000009</v>
      </c>
      <c r="I37" s="148"/>
      <c r="J37" s="151"/>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row>
    <row r="38" spans="2:44" x14ac:dyDescent="0.2">
      <c r="B38" s="586" t="s">
        <v>304</v>
      </c>
      <c r="C38" s="586"/>
      <c r="D38" s="586"/>
      <c r="E38" s="586"/>
      <c r="F38" s="219">
        <f>+IF(SUM(F32:F37)&gt;0,SUM(F32:F37),"-")</f>
        <v>7.4499999999999993</v>
      </c>
      <c r="G38" s="12"/>
      <c r="H38" s="12"/>
      <c r="I38" s="148"/>
      <c r="J38" s="151"/>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row>
    <row r="39" spans="2:44" x14ac:dyDescent="0.2">
      <c r="B39" s="155"/>
      <c r="C39" s="156"/>
      <c r="D39" s="150"/>
      <c r="E39" s="152" t="s">
        <v>296</v>
      </c>
      <c r="F39" s="220">
        <f>+F26</f>
        <v>7.5</v>
      </c>
      <c r="G39" s="157"/>
      <c r="H39" s="134" t="s">
        <v>273</v>
      </c>
      <c r="I39" s="133"/>
      <c r="J39" s="133"/>
      <c r="K39" s="67"/>
      <c r="L39" s="69"/>
      <c r="M39" s="69"/>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row>
    <row r="40" spans="2:44" x14ac:dyDescent="0.2">
      <c r="B40" s="155"/>
      <c r="C40" s="156"/>
      <c r="D40" s="150"/>
      <c r="E40" s="152" t="s">
        <v>297</v>
      </c>
      <c r="F40" s="153">
        <f>+IF(F38&lt;&gt;"-",ROUNDUP(F38/F39,0),"-")</f>
        <v>1</v>
      </c>
      <c r="G40" s="157"/>
      <c r="H40" s="585" t="s">
        <v>341</v>
      </c>
      <c r="I40" s="585"/>
      <c r="J40" s="585"/>
      <c r="K40" s="585"/>
      <c r="L40" s="585"/>
      <c r="M40" s="585"/>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row>
    <row r="41" spans="2:44" x14ac:dyDescent="0.2">
      <c r="B41" s="155"/>
      <c r="C41" s="156"/>
      <c r="D41" s="150"/>
      <c r="E41" s="152" t="s">
        <v>298</v>
      </c>
      <c r="F41" s="210">
        <f>+IF(F38&lt;&gt;"-",ROUNDUP(F40/10,0),"-")</f>
        <v>1</v>
      </c>
      <c r="G41" s="157"/>
      <c r="H41" s="585"/>
      <c r="I41" s="585"/>
      <c r="J41" s="585"/>
      <c r="K41" s="585"/>
      <c r="L41" s="585"/>
      <c r="M41" s="585"/>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row>
    <row r="42" spans="2:44" x14ac:dyDescent="0.2">
      <c r="B42" s="155"/>
      <c r="C42" s="156"/>
      <c r="D42" s="150"/>
      <c r="E42" s="152"/>
      <c r="F42" s="154"/>
      <c r="G42" s="157"/>
      <c r="H42" s="585"/>
      <c r="I42" s="585"/>
      <c r="J42" s="585"/>
      <c r="K42" s="585"/>
      <c r="L42" s="585"/>
      <c r="M42" s="585"/>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row>
    <row r="43" spans="2:44" x14ac:dyDescent="0.2">
      <c r="M43" s="147"/>
      <c r="N43" s="148"/>
      <c r="O43" s="151"/>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row>
    <row r="44" spans="2:44" ht="13.5" thickBot="1" x14ac:dyDescent="0.25">
      <c r="M44" s="147"/>
      <c r="N44" s="148"/>
      <c r="O44" s="151"/>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row>
    <row r="45" spans="2:44" ht="26.25" thickBot="1" x14ac:dyDescent="0.25">
      <c r="B45" s="67"/>
      <c r="C45" s="481" t="s">
        <v>364</v>
      </c>
      <c r="D45" s="482" t="s">
        <v>365</v>
      </c>
      <c r="E45" s="483" t="s">
        <v>366</v>
      </c>
      <c r="F45" s="484" t="s">
        <v>367</v>
      </c>
      <c r="M45" s="147"/>
      <c r="N45" s="148"/>
      <c r="O45" s="151"/>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row>
    <row r="46" spans="2:44" x14ac:dyDescent="0.2">
      <c r="B46" s="589" t="s">
        <v>368</v>
      </c>
      <c r="C46" s="485" t="s">
        <v>369</v>
      </c>
      <c r="D46" s="486">
        <f>+F27</f>
        <v>3</v>
      </c>
      <c r="E46" s="522">
        <f>ROUND(365/220,1)</f>
        <v>1.7</v>
      </c>
      <c r="F46" s="487">
        <f t="shared" ref="F46:F61" si="1">+ROUNDUP(D46*E46,0)</f>
        <v>6</v>
      </c>
      <c r="M46" s="147"/>
      <c r="N46" s="148"/>
      <c r="O46" s="151"/>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row>
    <row r="47" spans="2:44" x14ac:dyDescent="0.2">
      <c r="B47" s="590"/>
      <c r="C47" s="488" t="s">
        <v>370</v>
      </c>
      <c r="D47" s="489">
        <f>+F28</f>
        <v>1</v>
      </c>
      <c r="E47" s="523">
        <v>1.5</v>
      </c>
      <c r="F47" s="490">
        <f t="shared" si="1"/>
        <v>2</v>
      </c>
      <c r="M47" s="147"/>
      <c r="N47" s="148"/>
      <c r="O47" s="151"/>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row>
    <row r="48" spans="2:44" x14ac:dyDescent="0.2">
      <c r="B48" s="590"/>
      <c r="C48" s="488" t="s">
        <v>371</v>
      </c>
      <c r="D48" s="525">
        <v>1</v>
      </c>
      <c r="E48" s="523">
        <v>1</v>
      </c>
      <c r="F48" s="491">
        <f t="shared" si="1"/>
        <v>1</v>
      </c>
      <c r="M48" s="147"/>
      <c r="N48" s="148"/>
      <c r="O48" s="151"/>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row>
    <row r="49" spans="2:44" x14ac:dyDescent="0.2">
      <c r="B49" s="590"/>
      <c r="C49" s="488" t="s">
        <v>372</v>
      </c>
      <c r="D49" s="492">
        <f>+IF(ROUNDUP(SUM(F46:F47)/10,0)-D48&lt;0,0,ROUNDUP(SUM(F46:F47)/10,0)-D48)</f>
        <v>0</v>
      </c>
      <c r="E49" s="523">
        <v>1</v>
      </c>
      <c r="F49" s="493">
        <f t="shared" si="1"/>
        <v>0</v>
      </c>
      <c r="G49" s="67"/>
      <c r="H49" s="67"/>
      <c r="I49" s="67"/>
      <c r="J49" s="67"/>
      <c r="K49" s="67"/>
      <c r="L49" s="67"/>
      <c r="M49" s="147"/>
      <c r="N49" s="148"/>
      <c r="O49" s="151"/>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row>
    <row r="50" spans="2:44" x14ac:dyDescent="0.2">
      <c r="B50" s="590"/>
      <c r="C50" s="488" t="s">
        <v>373</v>
      </c>
      <c r="D50" s="494">
        <f>+IF(SUM(F46:F47)&gt;15,1,0)</f>
        <v>0</v>
      </c>
      <c r="E50" s="523">
        <v>1</v>
      </c>
      <c r="F50" s="495">
        <f t="shared" si="1"/>
        <v>0</v>
      </c>
      <c r="G50" s="67"/>
      <c r="H50" s="67"/>
      <c r="I50" s="67"/>
      <c r="J50" s="67"/>
      <c r="K50" s="67"/>
      <c r="L50" s="67"/>
      <c r="M50" s="147"/>
      <c r="N50" s="148"/>
      <c r="O50" s="151"/>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row>
    <row r="51" spans="2:44" x14ac:dyDescent="0.2">
      <c r="B51" s="590"/>
      <c r="C51" s="488" t="s">
        <v>374</v>
      </c>
      <c r="D51" s="496">
        <f>+ROUND(SUM(F46:F47)/20,0)-D50</f>
        <v>0</v>
      </c>
      <c r="E51" s="523">
        <v>1</v>
      </c>
      <c r="F51" s="497">
        <f t="shared" si="1"/>
        <v>0</v>
      </c>
      <c r="G51" s="67"/>
      <c r="H51" s="67"/>
      <c r="I51" s="67"/>
      <c r="J51" s="67"/>
      <c r="K51" s="67"/>
      <c r="L51" s="67"/>
      <c r="M51" s="147"/>
      <c r="N51" s="148"/>
      <c r="O51" s="151"/>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row>
    <row r="52" spans="2:44" x14ac:dyDescent="0.2">
      <c r="B52" s="590"/>
      <c r="C52" s="488" t="s">
        <v>375</v>
      </c>
      <c r="D52" s="498">
        <f>+ROUNDDOWN(SUM(F46:F50,F53)/20,0)</f>
        <v>0</v>
      </c>
      <c r="E52" s="523">
        <v>1</v>
      </c>
      <c r="F52" s="499">
        <f t="shared" si="1"/>
        <v>0</v>
      </c>
      <c r="G52" s="67"/>
      <c r="H52" s="67"/>
      <c r="I52" s="67"/>
      <c r="J52" s="67"/>
      <c r="K52" s="67"/>
      <c r="L52" s="67"/>
      <c r="M52" s="147"/>
      <c r="N52" s="148"/>
      <c r="O52" s="151"/>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row>
    <row r="53" spans="2:44" ht="13.5" thickBot="1" x14ac:dyDescent="0.25">
      <c r="B53" s="591"/>
      <c r="C53" s="500" t="s">
        <v>376</v>
      </c>
      <c r="D53" s="526">
        <v>1</v>
      </c>
      <c r="E53" s="524">
        <v>1</v>
      </c>
      <c r="F53" s="501">
        <f t="shared" si="1"/>
        <v>1</v>
      </c>
      <c r="G53" s="67"/>
      <c r="H53" s="67"/>
      <c r="I53" s="67"/>
      <c r="J53" s="67"/>
      <c r="K53" s="67"/>
      <c r="L53" s="67"/>
      <c r="M53" s="147"/>
      <c r="N53" s="148"/>
      <c r="O53" s="151"/>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row>
    <row r="54" spans="2:44" x14ac:dyDescent="0.2">
      <c r="B54" s="590" t="s">
        <v>377</v>
      </c>
      <c r="C54" s="502" t="s">
        <v>369</v>
      </c>
      <c r="D54" s="503">
        <f>+F40</f>
        <v>1</v>
      </c>
      <c r="E54" s="504">
        <f>+E46</f>
        <v>1.7</v>
      </c>
      <c r="F54" s="505">
        <f t="shared" si="1"/>
        <v>2</v>
      </c>
      <c r="G54" s="67"/>
      <c r="H54" s="67"/>
      <c r="I54" s="67"/>
      <c r="J54" s="67"/>
      <c r="K54" s="67"/>
      <c r="L54" s="67"/>
      <c r="M54" s="147"/>
      <c r="N54" s="148"/>
      <c r="O54" s="151"/>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row>
    <row r="55" spans="2:44" x14ac:dyDescent="0.2">
      <c r="B55" s="590"/>
      <c r="C55" s="488" t="s">
        <v>370</v>
      </c>
      <c r="D55" s="489">
        <f>+F41</f>
        <v>1</v>
      </c>
      <c r="E55" s="506">
        <f>+E47</f>
        <v>1.5</v>
      </c>
      <c r="F55" s="490">
        <f t="shared" si="1"/>
        <v>2</v>
      </c>
      <c r="G55" s="67"/>
      <c r="H55" s="67"/>
      <c r="I55" s="67"/>
      <c r="J55" s="67"/>
      <c r="K55" s="67"/>
      <c r="L55" s="67"/>
      <c r="M55" s="147"/>
      <c r="N55" s="148"/>
      <c r="O55" s="151"/>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row>
    <row r="56" spans="2:44" x14ac:dyDescent="0.2">
      <c r="B56" s="590"/>
      <c r="C56" s="488" t="s">
        <v>378</v>
      </c>
      <c r="D56" s="507">
        <f>+IF(SUM(F54:F55)&gt;15,1,0)</f>
        <v>0</v>
      </c>
      <c r="E56" s="506">
        <f>+E48</f>
        <v>1</v>
      </c>
      <c r="F56" s="491">
        <f t="shared" si="1"/>
        <v>0</v>
      </c>
      <c r="G56" s="67"/>
      <c r="H56" s="67"/>
      <c r="I56" s="67"/>
      <c r="J56" s="67"/>
      <c r="K56" s="67"/>
      <c r="L56" s="67"/>
      <c r="M56" s="147"/>
      <c r="N56" s="148"/>
      <c r="O56" s="151"/>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row>
    <row r="57" spans="2:44" x14ac:dyDescent="0.2">
      <c r="B57" s="590"/>
      <c r="C57" s="488" t="s">
        <v>372</v>
      </c>
      <c r="D57" s="492">
        <f>+ROUND(SUM(F54:F55)/15,0)-D56</f>
        <v>0</v>
      </c>
      <c r="E57" s="523">
        <v>1</v>
      </c>
      <c r="F57" s="493">
        <f t="shared" si="1"/>
        <v>0</v>
      </c>
      <c r="G57" s="67"/>
      <c r="H57" s="67"/>
      <c r="I57" s="67"/>
      <c r="J57" s="67"/>
      <c r="K57" s="67"/>
      <c r="L57" s="67"/>
      <c r="M57" s="147"/>
      <c r="N57" s="148"/>
      <c r="O57" s="151"/>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row>
    <row r="58" spans="2:44" x14ac:dyDescent="0.2">
      <c r="B58" s="590"/>
      <c r="C58" s="488" t="s">
        <v>379</v>
      </c>
      <c r="D58" s="494">
        <f>+IF(SUM(F54:F55)&gt;15,1,0)</f>
        <v>0</v>
      </c>
      <c r="E58" s="506">
        <f>+E50</f>
        <v>1</v>
      </c>
      <c r="F58" s="495">
        <f t="shared" si="1"/>
        <v>0</v>
      </c>
      <c r="G58" s="67"/>
      <c r="H58" s="67"/>
      <c r="I58" s="67"/>
      <c r="J58" s="67"/>
      <c r="K58" s="67"/>
      <c r="L58" s="67"/>
      <c r="M58" s="147"/>
      <c r="N58" s="148"/>
      <c r="O58" s="151"/>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row>
    <row r="59" spans="2:44" x14ac:dyDescent="0.2">
      <c r="B59" s="590"/>
      <c r="C59" s="488" t="s">
        <v>374</v>
      </c>
      <c r="D59" s="496">
        <f>+ROUND(SUM(F54:F55)/20,0)-D58</f>
        <v>0</v>
      </c>
      <c r="E59" s="523">
        <v>1</v>
      </c>
      <c r="F59" s="497">
        <f t="shared" si="1"/>
        <v>0</v>
      </c>
      <c r="G59" s="67"/>
      <c r="H59" s="67"/>
      <c r="I59" s="67"/>
      <c r="J59" s="67"/>
      <c r="K59" s="67"/>
      <c r="L59" s="67"/>
      <c r="M59" s="147"/>
      <c r="N59" s="148"/>
      <c r="O59" s="151"/>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row>
    <row r="60" spans="2:44" x14ac:dyDescent="0.2">
      <c r="B60" s="590"/>
      <c r="C60" s="488" t="s">
        <v>375</v>
      </c>
      <c r="D60" s="498">
        <f>+ROUNDDOWN(SUM(F54:F58,F61)/25,0)</f>
        <v>0</v>
      </c>
      <c r="E60" s="506">
        <f t="shared" ref="E60" si="2">+E52</f>
        <v>1</v>
      </c>
      <c r="F60" s="499">
        <f t="shared" si="1"/>
        <v>0</v>
      </c>
      <c r="G60" s="67"/>
      <c r="H60" s="67"/>
      <c r="I60" s="67"/>
      <c r="J60" s="67"/>
      <c r="K60" s="67"/>
      <c r="L60" s="67"/>
      <c r="M60" s="147"/>
      <c r="N60" s="148"/>
      <c r="O60" s="151"/>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row>
    <row r="61" spans="2:44" ht="13.5" thickBot="1" x14ac:dyDescent="0.25">
      <c r="B61" s="591"/>
      <c r="C61" s="500" t="s">
        <v>376</v>
      </c>
      <c r="D61" s="508">
        <f>+IF(SUM(F54:F56)&gt;15,1,0)</f>
        <v>0</v>
      </c>
      <c r="E61" s="509">
        <f>+E53</f>
        <v>1</v>
      </c>
      <c r="F61" s="501">
        <f t="shared" si="1"/>
        <v>0</v>
      </c>
      <c r="G61" s="67"/>
      <c r="H61" s="67"/>
      <c r="I61" s="67"/>
      <c r="J61" s="67"/>
      <c r="K61" s="67"/>
      <c r="L61" s="67"/>
      <c r="M61" s="147"/>
      <c r="N61" s="148"/>
      <c r="O61" s="151"/>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row>
    <row r="62" spans="2:44" x14ac:dyDescent="0.2">
      <c r="B62" s="589" t="s">
        <v>0</v>
      </c>
      <c r="C62" s="592" t="s">
        <v>369</v>
      </c>
      <c r="D62" s="593"/>
      <c r="E62" s="593"/>
      <c r="F62" s="510">
        <f>+F46+F54</f>
        <v>8</v>
      </c>
      <c r="G62" s="67"/>
      <c r="H62" s="67"/>
      <c r="I62" s="67"/>
      <c r="J62" s="67"/>
      <c r="K62" s="67"/>
      <c r="L62" s="67"/>
      <c r="M62" s="147"/>
      <c r="N62" s="148"/>
      <c r="O62" s="151"/>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row>
    <row r="63" spans="2:44" x14ac:dyDescent="0.2">
      <c r="B63" s="590"/>
      <c r="C63" s="594" t="s">
        <v>370</v>
      </c>
      <c r="D63" s="595"/>
      <c r="E63" s="595"/>
      <c r="F63" s="511">
        <f>+F47+F55</f>
        <v>4</v>
      </c>
      <c r="G63" s="67"/>
      <c r="H63" s="67"/>
      <c r="I63" s="67"/>
      <c r="J63" s="67"/>
      <c r="K63" s="67"/>
      <c r="L63" s="67"/>
      <c r="M63" s="147"/>
      <c r="N63" s="148"/>
      <c r="O63" s="151"/>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row>
    <row r="64" spans="2:44" x14ac:dyDescent="0.2">
      <c r="B64" s="590"/>
      <c r="C64" s="594" t="s">
        <v>378</v>
      </c>
      <c r="D64" s="595"/>
      <c r="E64" s="595"/>
      <c r="F64" s="512">
        <f t="shared" ref="F64:F69" si="3">+F48+F56</f>
        <v>1</v>
      </c>
      <c r="G64" s="67"/>
      <c r="H64" s="67"/>
      <c r="I64" s="67"/>
      <c r="J64" s="67"/>
      <c r="K64" s="67"/>
      <c r="L64" s="67"/>
      <c r="M64" s="147"/>
      <c r="N64" s="148"/>
      <c r="O64" s="151"/>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row>
    <row r="65" spans="2:44" x14ac:dyDescent="0.2">
      <c r="B65" s="590"/>
      <c r="C65" s="513"/>
      <c r="D65" s="514"/>
      <c r="E65" s="514"/>
      <c r="F65" s="515">
        <f t="shared" si="3"/>
        <v>0</v>
      </c>
      <c r="G65" s="67"/>
      <c r="H65" s="67"/>
      <c r="I65" s="67"/>
      <c r="J65" s="67"/>
      <c r="K65" s="67"/>
      <c r="L65" s="67"/>
      <c r="M65" s="147"/>
      <c r="N65" s="148"/>
      <c r="O65" s="151"/>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row>
    <row r="66" spans="2:44" x14ac:dyDescent="0.2">
      <c r="B66" s="590"/>
      <c r="C66" s="594" t="s">
        <v>379</v>
      </c>
      <c r="D66" s="595"/>
      <c r="E66" s="595"/>
      <c r="F66" s="516">
        <f t="shared" si="3"/>
        <v>0</v>
      </c>
      <c r="G66" s="67"/>
      <c r="H66" s="67"/>
      <c r="I66" s="67"/>
      <c r="J66" s="67"/>
      <c r="K66" s="67"/>
      <c r="L66" s="67"/>
      <c r="M66" s="147"/>
      <c r="N66" s="148"/>
      <c r="O66" s="151"/>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row>
    <row r="67" spans="2:44" x14ac:dyDescent="0.2">
      <c r="B67" s="590"/>
      <c r="C67" s="513"/>
      <c r="D67" s="514"/>
      <c r="E67" s="514"/>
      <c r="F67" s="517">
        <f t="shared" si="3"/>
        <v>0</v>
      </c>
      <c r="G67" s="67"/>
      <c r="H67" s="67"/>
      <c r="I67" s="67"/>
      <c r="J67" s="67"/>
      <c r="K67" s="67"/>
      <c r="L67" s="67"/>
      <c r="M67" s="147"/>
      <c r="N67" s="148"/>
      <c r="O67" s="151"/>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row>
    <row r="68" spans="2:44" x14ac:dyDescent="0.2">
      <c r="B68" s="590"/>
      <c r="C68" s="594" t="s">
        <v>380</v>
      </c>
      <c r="D68" s="595"/>
      <c r="E68" s="595"/>
      <c r="F68" s="518">
        <f t="shared" si="3"/>
        <v>0</v>
      </c>
      <c r="G68" s="67"/>
      <c r="H68" s="67"/>
      <c r="I68" s="67"/>
      <c r="J68" s="67"/>
      <c r="K68" s="67"/>
      <c r="L68" s="67"/>
      <c r="M68" s="147"/>
      <c r="N68" s="148"/>
      <c r="O68" s="151"/>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row>
    <row r="69" spans="2:44" ht="13.5" thickBot="1" x14ac:dyDescent="0.25">
      <c r="B69" s="591"/>
      <c r="C69" s="596"/>
      <c r="D69" s="597"/>
      <c r="E69" s="597"/>
      <c r="F69" s="519">
        <f t="shared" si="3"/>
        <v>1</v>
      </c>
      <c r="G69" s="67"/>
      <c r="H69" s="67"/>
      <c r="I69" s="67"/>
      <c r="J69" s="67"/>
      <c r="K69" s="67"/>
      <c r="L69" s="67"/>
      <c r="M69" s="147"/>
      <c r="N69" s="148"/>
      <c r="O69" s="151"/>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row>
    <row r="70" spans="2:44" x14ac:dyDescent="0.2">
      <c r="B70" s="67"/>
      <c r="E70" s="520" t="s">
        <v>381</v>
      </c>
      <c r="F70" s="521">
        <f>+SUM(F62:F69)</f>
        <v>14</v>
      </c>
      <c r="G70" s="67"/>
      <c r="H70" s="67"/>
      <c r="I70" s="67"/>
      <c r="J70" s="67"/>
      <c r="K70" s="67"/>
      <c r="L70" s="67"/>
      <c r="M70" s="158"/>
      <c r="N70" s="76"/>
      <c r="O70" s="151"/>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row>
    <row r="71" spans="2:44" x14ac:dyDescent="0.2">
      <c r="B71" s="67"/>
      <c r="C71" s="67"/>
      <c r="D71" s="67"/>
      <c r="E71" s="67"/>
      <c r="F71" s="67"/>
      <c r="G71" s="67"/>
      <c r="H71" s="67"/>
      <c r="I71" s="67"/>
      <c r="J71" s="67"/>
      <c r="K71" s="67"/>
      <c r="L71" s="67"/>
      <c r="M71" s="159"/>
      <c r="N71" s="76"/>
      <c r="O71" s="151"/>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row>
    <row r="72" spans="2:44" x14ac:dyDescent="0.2">
      <c r="B72" s="67"/>
      <c r="C72" s="67"/>
      <c r="D72" s="67"/>
      <c r="E72" s="67"/>
      <c r="F72" s="67"/>
      <c r="G72" s="67"/>
      <c r="H72" s="67"/>
      <c r="I72" s="67"/>
      <c r="J72" s="67"/>
      <c r="K72" s="67"/>
      <c r="L72" s="67"/>
      <c r="M72" s="159"/>
      <c r="N72" s="76"/>
      <c r="O72" s="151"/>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row>
    <row r="73" spans="2:44" x14ac:dyDescent="0.2">
      <c r="B73" s="67"/>
      <c r="C73" s="67"/>
      <c r="D73" s="67"/>
      <c r="E73" s="67"/>
      <c r="F73" s="67"/>
      <c r="G73" s="67"/>
      <c r="H73" s="67"/>
      <c r="I73" s="67"/>
      <c r="J73" s="67"/>
      <c r="K73" s="67"/>
      <c r="L73" s="67"/>
      <c r="M73" s="159"/>
      <c r="N73" s="76"/>
      <c r="O73" s="151"/>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row>
    <row r="74" spans="2:44" x14ac:dyDescent="0.2">
      <c r="B74" s="67"/>
      <c r="C74" s="67"/>
      <c r="D74" s="67"/>
      <c r="E74" s="67"/>
      <c r="F74" s="67"/>
      <c r="G74" s="67"/>
      <c r="H74" s="67"/>
      <c r="I74" s="67"/>
      <c r="J74" s="67"/>
      <c r="K74" s="67"/>
      <c r="L74" s="67"/>
      <c r="M74" s="147"/>
      <c r="N74" s="148"/>
      <c r="O74" s="151"/>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row>
    <row r="75" spans="2:44" x14ac:dyDescent="0.2">
      <c r="B75" s="67"/>
      <c r="C75" s="67"/>
      <c r="D75" s="67"/>
      <c r="E75" s="67"/>
      <c r="F75" s="67"/>
      <c r="G75" s="67"/>
      <c r="H75" s="67"/>
      <c r="I75" s="67"/>
      <c r="J75" s="67"/>
      <c r="K75" s="67"/>
      <c r="L75" s="67"/>
      <c r="M75" s="147"/>
      <c r="N75" s="148"/>
      <c r="O75" s="151"/>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row>
    <row r="76" spans="2:44" x14ac:dyDescent="0.2">
      <c r="B76" s="67"/>
      <c r="C76" s="67"/>
      <c r="D76" s="67"/>
      <c r="E76" s="67"/>
      <c r="F76" s="67"/>
      <c r="G76" s="67"/>
      <c r="H76" s="67"/>
      <c r="I76" s="67"/>
      <c r="J76" s="67"/>
      <c r="K76" s="67"/>
      <c r="L76" s="67"/>
      <c r="M76" s="147"/>
      <c r="N76" s="148"/>
      <c r="O76" s="151"/>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row>
    <row r="77" spans="2:44" x14ac:dyDescent="0.2">
      <c r="B77" s="67"/>
      <c r="C77" s="67"/>
      <c r="D77" s="67"/>
      <c r="E77" s="67"/>
      <c r="F77" s="67"/>
      <c r="G77" s="67"/>
      <c r="H77" s="67"/>
      <c r="I77" s="67"/>
      <c r="J77" s="67"/>
      <c r="K77" s="67"/>
      <c r="L77" s="67"/>
      <c r="M77" s="147"/>
      <c r="N77" s="148"/>
      <c r="O77" s="151"/>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row>
    <row r="78" spans="2:44" x14ac:dyDescent="0.2">
      <c r="B78" s="67"/>
      <c r="C78" s="67"/>
      <c r="D78" s="67"/>
      <c r="E78" s="67"/>
      <c r="F78" s="67"/>
      <c r="G78" s="67"/>
      <c r="H78" s="67"/>
      <c r="I78" s="67"/>
      <c r="J78" s="67"/>
      <c r="K78" s="67"/>
      <c r="L78" s="67"/>
      <c r="M78" s="147"/>
      <c r="N78" s="148"/>
      <c r="O78" s="151"/>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row>
    <row r="79" spans="2:44" x14ac:dyDescent="0.2">
      <c r="B79" s="67"/>
      <c r="C79" s="67"/>
      <c r="D79" s="67"/>
      <c r="E79" s="67"/>
      <c r="F79" s="67"/>
      <c r="G79" s="67"/>
      <c r="H79" s="67"/>
      <c r="I79" s="67"/>
      <c r="J79" s="67"/>
      <c r="K79" s="67"/>
      <c r="L79" s="67"/>
      <c r="M79" s="147"/>
      <c r="N79" s="148"/>
      <c r="O79" s="151"/>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row>
    <row r="80" spans="2:44" x14ac:dyDescent="0.2">
      <c r="B80" s="67"/>
      <c r="C80" s="67"/>
      <c r="D80" s="67"/>
      <c r="E80" s="67"/>
      <c r="F80" s="67"/>
      <c r="G80" s="67"/>
      <c r="H80" s="67"/>
      <c r="I80" s="67"/>
      <c r="J80" s="67"/>
      <c r="K80" s="67"/>
      <c r="L80" s="67"/>
      <c r="M80" s="147"/>
      <c r="N80" s="148"/>
      <c r="O80" s="151"/>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row>
    <row r="81" spans="2:44" x14ac:dyDescent="0.2">
      <c r="B81" s="67"/>
      <c r="C81" s="67"/>
      <c r="D81" s="67"/>
      <c r="E81" s="67"/>
      <c r="F81" s="67"/>
      <c r="G81" s="67"/>
      <c r="H81" s="67"/>
      <c r="I81" s="67"/>
      <c r="J81" s="67"/>
      <c r="K81" s="67"/>
      <c r="L81" s="67"/>
      <c r="M81" s="147"/>
      <c r="N81" s="148"/>
      <c r="O81" s="151"/>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row>
    <row r="82" spans="2:44" x14ac:dyDescent="0.2">
      <c r="B82" s="67"/>
      <c r="C82" s="67"/>
      <c r="D82" s="67"/>
      <c r="E82" s="67"/>
      <c r="F82" s="67"/>
      <c r="G82" s="67"/>
      <c r="H82" s="67"/>
      <c r="I82" s="67"/>
      <c r="J82" s="67"/>
      <c r="K82" s="67"/>
      <c r="L82" s="67"/>
      <c r="M82" s="147"/>
      <c r="N82" s="148"/>
      <c r="O82" s="151"/>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row>
    <row r="83" spans="2:44" x14ac:dyDescent="0.2">
      <c r="B83" s="67"/>
      <c r="C83" s="67"/>
      <c r="D83" s="67"/>
      <c r="E83" s="67"/>
      <c r="F83" s="67"/>
      <c r="G83" s="67"/>
      <c r="H83" s="67"/>
      <c r="I83" s="67"/>
      <c r="J83" s="67"/>
      <c r="K83" s="67"/>
      <c r="L83" s="67"/>
      <c r="M83" s="147"/>
      <c r="N83" s="148"/>
      <c r="O83" s="151"/>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row>
    <row r="84" spans="2:44" x14ac:dyDescent="0.2">
      <c r="B84" s="67"/>
      <c r="C84" s="67"/>
      <c r="D84" s="67"/>
      <c r="E84" s="67"/>
      <c r="F84" s="67"/>
      <c r="G84" s="67"/>
      <c r="H84" s="67"/>
      <c r="I84" s="67"/>
      <c r="J84" s="67"/>
      <c r="K84" s="67"/>
      <c r="L84" s="67"/>
      <c r="M84" s="147"/>
      <c r="N84" s="148"/>
      <c r="O84" s="151"/>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row>
    <row r="85" spans="2:44" x14ac:dyDescent="0.2">
      <c r="B85" s="67"/>
      <c r="C85" s="67"/>
      <c r="D85" s="67"/>
      <c r="E85" s="67"/>
      <c r="F85" s="67"/>
      <c r="G85" s="67"/>
      <c r="H85" s="67"/>
      <c r="I85" s="67"/>
      <c r="J85" s="67"/>
      <c r="K85" s="67"/>
      <c r="L85" s="67"/>
      <c r="M85" s="147"/>
      <c r="N85" s="148"/>
      <c r="O85" s="151"/>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row>
    <row r="86" spans="2:44" x14ac:dyDescent="0.2">
      <c r="B86" s="67"/>
      <c r="C86" s="67"/>
      <c r="D86" s="67"/>
      <c r="E86" s="67"/>
      <c r="F86" s="67"/>
      <c r="G86" s="67"/>
      <c r="H86" s="67"/>
      <c r="I86" s="67"/>
      <c r="J86" s="67"/>
      <c r="K86" s="67"/>
      <c r="L86" s="67"/>
      <c r="M86" s="147"/>
      <c r="N86" s="148"/>
      <c r="O86" s="151"/>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row>
    <row r="87" spans="2:44" x14ac:dyDescent="0.2">
      <c r="B87" s="67"/>
      <c r="C87" s="67"/>
      <c r="D87" s="67"/>
      <c r="E87" s="67"/>
      <c r="F87" s="67"/>
      <c r="G87" s="67"/>
      <c r="H87" s="67"/>
      <c r="I87" s="67"/>
      <c r="J87" s="67"/>
      <c r="K87" s="67"/>
      <c r="L87" s="67"/>
      <c r="M87" s="147"/>
      <c r="N87" s="148"/>
      <c r="O87" s="151"/>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row>
    <row r="88" spans="2:44" x14ac:dyDescent="0.2">
      <c r="B88" s="67"/>
      <c r="C88" s="67"/>
      <c r="D88" s="67"/>
      <c r="E88" s="67"/>
      <c r="F88" s="67"/>
      <c r="G88" s="67"/>
      <c r="H88" s="67"/>
      <c r="I88" s="67"/>
      <c r="J88" s="67"/>
      <c r="K88" s="67"/>
      <c r="L88" s="67"/>
      <c r="M88" s="147"/>
      <c r="N88" s="160"/>
      <c r="O88" s="161"/>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row>
    <row r="89" spans="2:44" x14ac:dyDescent="0.2">
      <c r="B89" s="67"/>
      <c r="C89" s="67"/>
      <c r="D89" s="67"/>
      <c r="E89" s="67"/>
      <c r="F89" s="67"/>
      <c r="G89" s="67"/>
      <c r="H89" s="67"/>
      <c r="I89" s="67"/>
      <c r="J89" s="67"/>
      <c r="K89" s="67"/>
      <c r="L89" s="67"/>
      <c r="M89" s="147"/>
      <c r="N89" s="160"/>
      <c r="O89" s="161"/>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row>
    <row r="90" spans="2:44" x14ac:dyDescent="0.2">
      <c r="B90" s="67"/>
      <c r="C90" s="67"/>
      <c r="D90" s="67"/>
      <c r="E90" s="67"/>
      <c r="F90" s="67"/>
      <c r="G90" s="67"/>
      <c r="H90" s="67"/>
      <c r="I90" s="67"/>
      <c r="J90" s="67"/>
      <c r="K90" s="67"/>
      <c r="L90" s="67"/>
      <c r="M90" s="147"/>
      <c r="N90" s="160"/>
      <c r="O90" s="161"/>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row>
    <row r="91" spans="2:44" x14ac:dyDescent="0.2">
      <c r="B91" s="67"/>
      <c r="C91" s="67"/>
      <c r="D91" s="67"/>
      <c r="E91" s="67"/>
      <c r="F91" s="67"/>
      <c r="G91" s="67"/>
      <c r="H91" s="67"/>
      <c r="I91" s="67"/>
      <c r="J91" s="67"/>
      <c r="K91" s="67"/>
      <c r="L91" s="67"/>
      <c r="M91" s="147"/>
      <c r="N91" s="160"/>
      <c r="O91" s="161"/>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row>
    <row r="92" spans="2:44" x14ac:dyDescent="0.2">
      <c r="B92" s="67"/>
      <c r="C92" s="67"/>
      <c r="D92" s="67"/>
      <c r="E92" s="67"/>
      <c r="F92" s="67"/>
      <c r="G92" s="67"/>
      <c r="H92" s="67"/>
      <c r="I92" s="67"/>
      <c r="J92" s="67"/>
      <c r="K92" s="67"/>
      <c r="L92" s="67"/>
      <c r="M92" s="159"/>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row>
    <row r="93" spans="2:44" x14ac:dyDescent="0.2">
      <c r="B93" s="67"/>
      <c r="C93" s="67"/>
      <c r="D93" s="67"/>
      <c r="E93" s="67"/>
      <c r="F93" s="67"/>
      <c r="G93" s="67"/>
      <c r="H93" s="67"/>
      <c r="I93" s="67"/>
      <c r="J93" s="67"/>
      <c r="K93" s="67"/>
      <c r="L93" s="67"/>
      <c r="M93" s="159"/>
      <c r="N93" s="162"/>
      <c r="O93" s="163"/>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row>
    <row r="94" spans="2:44" ht="15.75" customHeight="1" x14ac:dyDescent="0.2">
      <c r="B94" s="67"/>
      <c r="C94" s="67"/>
      <c r="D94" s="67"/>
      <c r="E94" s="67"/>
      <c r="F94" s="67"/>
      <c r="G94" s="67"/>
      <c r="H94" s="67"/>
      <c r="I94" s="67"/>
      <c r="J94" s="67"/>
      <c r="K94" s="67"/>
      <c r="L94" s="67"/>
      <c r="M94" s="21"/>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row>
  </sheetData>
  <sheetProtection algorithmName="SHA-512" hashValue="ItFpLBWeyedKm3jweeVTm7z2ECMuGxn8Nox77lvZxsbV5rlGvx/ohEZU9oTQrxWx7pkH/BEaG29T/mx7tUSn5Q==" saltValue="SZcSP3IOYbQOkAw5+RMbdA==" spinCount="100000" sheet="1" objects="1" scenarios="1"/>
  <mergeCells count="17">
    <mergeCell ref="B46:B53"/>
    <mergeCell ref="B54:B61"/>
    <mergeCell ref="B62:B69"/>
    <mergeCell ref="C62:E62"/>
    <mergeCell ref="C63:E63"/>
    <mergeCell ref="C64:E64"/>
    <mergeCell ref="C66:E66"/>
    <mergeCell ref="C68:E68"/>
    <mergeCell ref="C69:E69"/>
    <mergeCell ref="B38:E38"/>
    <mergeCell ref="H40:M42"/>
    <mergeCell ref="B30:F30"/>
    <mergeCell ref="C31:D31"/>
    <mergeCell ref="B2:F2"/>
    <mergeCell ref="B4:F4"/>
    <mergeCell ref="C5:D5"/>
    <mergeCell ref="B25:E25"/>
  </mergeCells>
  <pageMargins left="0.22" right="0.21" top="1" bottom="1" header="0.5" footer="0.5"/>
  <pageSetup paperSize="9" orientation="landscape" horizont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92D050"/>
  </sheetPr>
  <dimension ref="A2:U588"/>
  <sheetViews>
    <sheetView zoomScaleNormal="100" workbookViewId="0">
      <selection activeCell="F12" sqref="F12"/>
    </sheetView>
  </sheetViews>
  <sheetFormatPr defaultColWidth="11.42578125" defaultRowHeight="12.75" x14ac:dyDescent="0.2"/>
  <cols>
    <col min="1" max="2" width="9.140625" style="48" customWidth="1"/>
    <col min="3" max="3" width="43.28515625" style="48" customWidth="1"/>
    <col min="4" max="4" width="11.85546875" style="48" customWidth="1"/>
    <col min="5" max="5" width="20" style="48" customWidth="1"/>
    <col min="6" max="6" width="15.5703125" style="48" bestFit="1" customWidth="1"/>
    <col min="7" max="7" width="15.7109375" style="49" bestFit="1" customWidth="1"/>
    <col min="8" max="8" width="11.42578125" style="48" customWidth="1"/>
    <col min="9" max="9" width="38.85546875" style="48" customWidth="1"/>
    <col min="10" max="21" width="11.42578125" style="48" customWidth="1"/>
    <col min="22" max="23" width="11.42578125" style="95" customWidth="1"/>
    <col min="24" max="16384" width="11.42578125" style="95"/>
  </cols>
  <sheetData>
    <row r="2" spans="1:12" s="67" customFormat="1" ht="18" x14ac:dyDescent="0.25">
      <c r="A2" s="1"/>
      <c r="B2" s="1"/>
      <c r="C2" s="567" t="s">
        <v>337</v>
      </c>
      <c r="D2" s="567"/>
      <c r="E2" s="567"/>
      <c r="F2" s="567"/>
      <c r="G2" s="567"/>
      <c r="H2" s="48"/>
      <c r="I2" s="48"/>
      <c r="J2" s="48"/>
    </row>
    <row r="3" spans="1:12" ht="12" customHeight="1" x14ac:dyDescent="0.2"/>
    <row r="4" spans="1:12" ht="15" x14ac:dyDescent="0.25">
      <c r="C4" s="600" t="s">
        <v>271</v>
      </c>
      <c r="D4" s="600"/>
      <c r="E4" s="600"/>
      <c r="F4" s="600"/>
      <c r="G4" s="600"/>
    </row>
    <row r="5" spans="1:12" ht="25.5" x14ac:dyDescent="0.2">
      <c r="C5" s="221" t="s">
        <v>55</v>
      </c>
      <c r="D5" s="222" t="s">
        <v>4</v>
      </c>
      <c r="E5" s="222" t="s">
        <v>97</v>
      </c>
      <c r="F5" s="222" t="s">
        <v>98</v>
      </c>
      <c r="G5" s="222" t="s">
        <v>13</v>
      </c>
    </row>
    <row r="6" spans="1:12" ht="12.75" customHeight="1" x14ac:dyDescent="0.2">
      <c r="B6" s="601" t="s">
        <v>185</v>
      </c>
      <c r="C6" s="174" t="str">
        <f>+'09 Rearing Equip.'!B4</f>
        <v xml:space="preserve">Larval trays </v>
      </c>
      <c r="D6" s="223">
        <f>+'09 Rearing Equip.'!C7</f>
        <v>323</v>
      </c>
      <c r="E6" s="236">
        <v>50</v>
      </c>
      <c r="F6" s="224">
        <f t="shared" ref="F6:F20" si="0">+E6*D6</f>
        <v>16150</v>
      </c>
      <c r="G6" s="240">
        <v>6</v>
      </c>
      <c r="I6" s="101"/>
    </row>
    <row r="7" spans="1:12" x14ac:dyDescent="0.2">
      <c r="B7" s="601"/>
      <c r="C7" s="174" t="str">
        <f>+'09 Rearing Equip.'!B9</f>
        <v xml:space="preserve">Racks for larval trays </v>
      </c>
      <c r="D7" s="172">
        <f>+'09 Rearing Equip.'!C12</f>
        <v>10</v>
      </c>
      <c r="E7" s="236">
        <v>8000</v>
      </c>
      <c r="F7" s="173">
        <f t="shared" si="0"/>
        <v>80000</v>
      </c>
      <c r="G7" s="241">
        <v>10</v>
      </c>
      <c r="I7" s="101"/>
    </row>
    <row r="8" spans="1:12" x14ac:dyDescent="0.2">
      <c r="B8" s="601"/>
      <c r="C8" s="174" t="str">
        <f>+'09 Rearing Equip.'!B14</f>
        <v>Cages for Colonies</v>
      </c>
      <c r="D8" s="172">
        <f>+'09 Rearing Equip.'!C17</f>
        <v>26.4</v>
      </c>
      <c r="E8" s="237">
        <v>250</v>
      </c>
      <c r="F8" s="173">
        <f t="shared" si="0"/>
        <v>6600</v>
      </c>
      <c r="G8" s="241">
        <v>10</v>
      </c>
      <c r="I8" s="101"/>
    </row>
    <row r="9" spans="1:12" ht="15.75" x14ac:dyDescent="0.25">
      <c r="B9" s="601"/>
      <c r="C9" s="174" t="str">
        <f>+'09 Rearing Equip.'!B25</f>
        <v>Irradiator</v>
      </c>
      <c r="D9" s="172">
        <f>+'09 Rearing Equip.'!C33</f>
        <v>1</v>
      </c>
      <c r="E9" s="237">
        <v>250000</v>
      </c>
      <c r="F9" s="173">
        <f t="shared" si="0"/>
        <v>250000</v>
      </c>
      <c r="G9" s="241">
        <v>10</v>
      </c>
      <c r="H9" s="50"/>
      <c r="I9" s="87"/>
      <c r="J9" s="49"/>
      <c r="K9" s="49"/>
      <c r="L9" s="49"/>
    </row>
    <row r="10" spans="1:12" x14ac:dyDescent="0.2">
      <c r="B10" s="601"/>
      <c r="C10" s="174" t="str">
        <f>+'09 Rearing Equip.'!B35</f>
        <v>Sex sorter</v>
      </c>
      <c r="D10" s="172">
        <f>+'09 Rearing Equip.'!C42</f>
        <v>2</v>
      </c>
      <c r="E10" s="237">
        <v>10000</v>
      </c>
      <c r="F10" s="173">
        <f t="shared" si="0"/>
        <v>20000</v>
      </c>
      <c r="G10" s="241">
        <v>4</v>
      </c>
      <c r="I10" s="101"/>
    </row>
    <row r="11" spans="1:12" x14ac:dyDescent="0.2">
      <c r="B11" s="601"/>
      <c r="C11" s="174" t="str">
        <f>+'09 Rearing Equip.'!B44</f>
        <v xml:space="preserve">L1 counter </v>
      </c>
      <c r="D11" s="172">
        <f>+'09 Rearing Equip.'!C50</f>
        <v>2</v>
      </c>
      <c r="E11" s="237">
        <v>4000</v>
      </c>
      <c r="F11" s="173">
        <f t="shared" si="0"/>
        <v>8000</v>
      </c>
      <c r="G11" s="241">
        <v>5</v>
      </c>
      <c r="I11" s="101"/>
    </row>
    <row r="12" spans="1:12" x14ac:dyDescent="0.2">
      <c r="B12" s="601"/>
      <c r="C12" s="174" t="str">
        <f>+'09 Rearing Equip.'!B52</f>
        <v>Larval diet mixer</v>
      </c>
      <c r="D12" s="172">
        <f>+'09 Rearing Equip.'!C60</f>
        <v>1</v>
      </c>
      <c r="E12" s="237">
        <v>3000</v>
      </c>
      <c r="F12" s="173">
        <f t="shared" si="0"/>
        <v>3000</v>
      </c>
      <c r="G12" s="241">
        <v>5</v>
      </c>
      <c r="I12" s="101"/>
    </row>
    <row r="13" spans="1:12" x14ac:dyDescent="0.2">
      <c r="B13" s="601"/>
      <c r="C13" s="174" t="str">
        <f>+'09 Rearing Equip.'!B62</f>
        <v>Adult diet mixer</v>
      </c>
      <c r="D13" s="172">
        <f>+'09 Rearing Equip.'!C70</f>
        <v>1</v>
      </c>
      <c r="E13" s="237">
        <v>2000</v>
      </c>
      <c r="F13" s="173">
        <f t="shared" si="0"/>
        <v>2000</v>
      </c>
      <c r="G13" s="241">
        <v>6</v>
      </c>
      <c r="I13" s="101"/>
    </row>
    <row r="14" spans="1:12" x14ac:dyDescent="0.2">
      <c r="B14" s="601"/>
      <c r="C14" s="171" t="str">
        <f>+'09 Rearing Equip.'!B72</f>
        <v>Larval diet feeder</v>
      </c>
      <c r="D14" s="172">
        <f>+ROUNDUP(D7/8,0)</f>
        <v>2</v>
      </c>
      <c r="E14" s="237">
        <v>3000</v>
      </c>
      <c r="F14" s="173">
        <f t="shared" si="0"/>
        <v>6000</v>
      </c>
      <c r="G14" s="241">
        <v>5</v>
      </c>
      <c r="I14" s="101"/>
    </row>
    <row r="15" spans="1:12" x14ac:dyDescent="0.2">
      <c r="B15" s="601"/>
      <c r="C15" s="174" t="str">
        <f>+'09 Rearing Equip.'!B80</f>
        <v>Blood feeders</v>
      </c>
      <c r="D15" s="172">
        <f>+'09 Rearing Equip.'!C86</f>
        <v>2</v>
      </c>
      <c r="E15" s="237">
        <v>1000</v>
      </c>
      <c r="F15" s="173">
        <f t="shared" si="0"/>
        <v>2000</v>
      </c>
      <c r="G15" s="241">
        <v>5</v>
      </c>
      <c r="I15" s="101"/>
    </row>
    <row r="16" spans="1:12" x14ac:dyDescent="0.2">
      <c r="B16" s="601"/>
      <c r="C16" s="174" t="str">
        <f>+'09 Rearing Equip.'!B88</f>
        <v>Tray washing machine in mass rearing facility</v>
      </c>
      <c r="D16" s="172">
        <f>+'09 Rearing Equip.'!C94</f>
        <v>1</v>
      </c>
      <c r="E16" s="237">
        <v>20000</v>
      </c>
      <c r="F16" s="173">
        <f t="shared" si="0"/>
        <v>20000</v>
      </c>
      <c r="G16" s="241">
        <v>6</v>
      </c>
      <c r="I16" s="101"/>
    </row>
    <row r="17" spans="2:12" x14ac:dyDescent="0.2">
      <c r="B17" s="601"/>
      <c r="C17" s="174" t="str">
        <f>+'09 Rearing Equip.'!B96</f>
        <v>Cage washing machine in mass rearing facility</v>
      </c>
      <c r="D17" s="172">
        <f>+'09 Rearing Equip.'!C102</f>
        <v>1</v>
      </c>
      <c r="E17" s="237">
        <v>20000</v>
      </c>
      <c r="F17" s="173">
        <f t="shared" si="0"/>
        <v>20000</v>
      </c>
      <c r="G17" s="241">
        <v>6</v>
      </c>
      <c r="I17" s="100"/>
    </row>
    <row r="18" spans="2:12" ht="15.75" x14ac:dyDescent="0.25">
      <c r="B18" s="601"/>
      <c r="C18" s="174" t="s">
        <v>269</v>
      </c>
      <c r="D18" s="239">
        <v>1</v>
      </c>
      <c r="E18" s="237">
        <v>12000</v>
      </c>
      <c r="F18" s="173">
        <f t="shared" si="0"/>
        <v>12000</v>
      </c>
      <c r="G18" s="241">
        <v>5</v>
      </c>
      <c r="H18" s="50"/>
      <c r="I18" s="49"/>
      <c r="J18" s="49"/>
      <c r="K18" s="49"/>
      <c r="L18" s="49"/>
    </row>
    <row r="19" spans="2:12" x14ac:dyDescent="0.2">
      <c r="B19" s="601"/>
      <c r="C19" s="171" t="s">
        <v>56</v>
      </c>
      <c r="D19" s="239">
        <v>1</v>
      </c>
      <c r="E19" s="238">
        <v>25000</v>
      </c>
      <c r="F19" s="173">
        <f t="shared" si="0"/>
        <v>25000</v>
      </c>
      <c r="G19" s="241">
        <v>10</v>
      </c>
      <c r="K19" s="49"/>
      <c r="L19" s="49"/>
    </row>
    <row r="20" spans="2:12" ht="15.75" x14ac:dyDescent="0.25">
      <c r="B20" s="601"/>
      <c r="C20" s="174" t="s">
        <v>270</v>
      </c>
      <c r="D20" s="239">
        <v>1</v>
      </c>
      <c r="E20" s="238">
        <v>5000</v>
      </c>
      <c r="F20" s="173">
        <f t="shared" si="0"/>
        <v>5000</v>
      </c>
      <c r="G20" s="241">
        <v>6</v>
      </c>
      <c r="H20" s="50"/>
      <c r="I20" s="49"/>
      <c r="J20" s="49"/>
      <c r="K20" s="49"/>
      <c r="L20" s="49"/>
    </row>
    <row r="21" spans="2:12" ht="15.75" x14ac:dyDescent="0.25">
      <c r="B21" s="126"/>
      <c r="C21" s="50"/>
      <c r="D21" s="50"/>
      <c r="E21" s="169" t="s">
        <v>186</v>
      </c>
      <c r="F21" s="170">
        <f>+SUM(F6:F20)</f>
        <v>475750</v>
      </c>
      <c r="G21" s="50"/>
      <c r="H21" s="50"/>
      <c r="I21" s="49"/>
      <c r="J21" s="49"/>
      <c r="K21" s="49"/>
      <c r="L21" s="49"/>
    </row>
    <row r="22" spans="2:12" ht="15.75" x14ac:dyDescent="0.25">
      <c r="B22" s="102"/>
      <c r="C22" s="50"/>
      <c r="D22" s="50"/>
      <c r="E22" s="89" t="s">
        <v>130</v>
      </c>
      <c r="F22" s="90">
        <f>+F6/G6+F7/G7+F8/G8+F9/G9+F10/G10+F11/G11+F12/G12+F13/G13+F14/G14+F15/G15+F16/G16+F17/G17+F18/G18+F19/G19+F20/G20</f>
        <v>57885.000000000007</v>
      </c>
      <c r="G22" s="50"/>
      <c r="H22" s="50"/>
      <c r="I22" s="49"/>
      <c r="J22" s="49"/>
      <c r="K22" s="49"/>
      <c r="L22" s="49"/>
    </row>
    <row r="23" spans="2:12" ht="15.75" x14ac:dyDescent="0.25">
      <c r="B23" s="102"/>
      <c r="C23" s="50"/>
      <c r="D23" s="50"/>
      <c r="E23" s="89"/>
      <c r="F23" s="90"/>
      <c r="G23" s="50"/>
      <c r="H23" s="50"/>
      <c r="I23" s="49"/>
      <c r="J23" s="49"/>
      <c r="K23" s="49"/>
      <c r="L23" s="49"/>
    </row>
    <row r="24" spans="2:12" ht="15" x14ac:dyDescent="0.25">
      <c r="C24" s="600" t="s">
        <v>272</v>
      </c>
      <c r="D24" s="600"/>
      <c r="E24" s="600"/>
      <c r="F24" s="600"/>
      <c r="G24" s="600"/>
      <c r="L24" s="49"/>
    </row>
    <row r="25" spans="2:12" ht="25.5" x14ac:dyDescent="0.2">
      <c r="C25" s="221" t="s">
        <v>55</v>
      </c>
      <c r="D25" s="222" t="s">
        <v>4</v>
      </c>
      <c r="E25" s="222" t="s">
        <v>97</v>
      </c>
      <c r="F25" s="222" t="s">
        <v>98</v>
      </c>
      <c r="G25" s="222" t="s">
        <v>13</v>
      </c>
      <c r="L25" s="49"/>
    </row>
    <row r="26" spans="2:12" ht="12.75" customHeight="1" x14ac:dyDescent="0.2">
      <c r="B26" s="601" t="s">
        <v>184</v>
      </c>
      <c r="C26" s="174" t="str">
        <f>+'09 Rearing Equip.'!B19</f>
        <v>Cages for Release Males</v>
      </c>
      <c r="D26" s="172">
        <f>+'09 Rearing Equip.'!C22</f>
        <v>78</v>
      </c>
      <c r="E26" s="237">
        <v>200</v>
      </c>
      <c r="F26" s="173">
        <f>+E26*D26</f>
        <v>15600</v>
      </c>
      <c r="G26" s="241">
        <v>4</v>
      </c>
      <c r="I26" s="101"/>
    </row>
    <row r="27" spans="2:12" x14ac:dyDescent="0.2">
      <c r="B27" s="601"/>
      <c r="C27" s="174" t="str">
        <f>+'09 Rearing Equip.'!B104</f>
        <v>Cage washing machine in release facility</v>
      </c>
      <c r="D27" s="172">
        <f>+'09 Rearing Equip.'!C110</f>
        <v>1</v>
      </c>
      <c r="E27" s="237">
        <v>20000</v>
      </c>
      <c r="F27" s="173">
        <f>+E27*D27</f>
        <v>20000</v>
      </c>
      <c r="G27" s="241">
        <v>6</v>
      </c>
      <c r="I27" s="100"/>
    </row>
    <row r="28" spans="2:12" x14ac:dyDescent="0.2">
      <c r="B28" s="601"/>
      <c r="C28" s="174" t="s">
        <v>269</v>
      </c>
      <c r="D28" s="239">
        <v>1</v>
      </c>
      <c r="E28" s="238">
        <v>6000</v>
      </c>
      <c r="F28" s="173">
        <f>+E28*D28</f>
        <v>6000</v>
      </c>
      <c r="G28" s="241">
        <v>5</v>
      </c>
      <c r="I28" s="100"/>
    </row>
    <row r="29" spans="2:12" x14ac:dyDescent="0.2">
      <c r="B29" s="601"/>
      <c r="C29" s="171" t="s">
        <v>56</v>
      </c>
      <c r="D29" s="239">
        <v>1</v>
      </c>
      <c r="E29" s="238">
        <v>10000</v>
      </c>
      <c r="F29" s="173">
        <f>+E29*D29</f>
        <v>10000</v>
      </c>
      <c r="G29" s="241">
        <f>+G20</f>
        <v>6</v>
      </c>
      <c r="K29" s="49"/>
      <c r="L29" s="49"/>
    </row>
    <row r="30" spans="2:12" ht="15" x14ac:dyDescent="0.25">
      <c r="B30" s="102"/>
      <c r="C30" s="103"/>
      <c r="E30" s="169" t="s">
        <v>186</v>
      </c>
      <c r="F30" s="170">
        <f>+SUM(F26:F29)</f>
        <v>51600</v>
      </c>
      <c r="G30" s="48"/>
      <c r="K30" s="49"/>
      <c r="L30" s="49"/>
    </row>
    <row r="31" spans="2:12" x14ac:dyDescent="0.2">
      <c r="E31" s="89" t="s">
        <v>130</v>
      </c>
      <c r="F31" s="90">
        <f>+F26/G26+F27/G27+F29/G29</f>
        <v>8900</v>
      </c>
      <c r="G31" s="48"/>
      <c r="K31" s="49"/>
      <c r="L31" s="49"/>
    </row>
    <row r="32" spans="2:12" x14ac:dyDescent="0.2">
      <c r="G32" s="48"/>
      <c r="K32" s="49"/>
      <c r="L32" s="49"/>
    </row>
    <row r="33" spans="1:21" x14ac:dyDescent="0.2">
      <c r="G33" s="48"/>
      <c r="K33" s="49"/>
      <c r="L33" s="49"/>
    </row>
    <row r="34" spans="1:21" ht="15.75" x14ac:dyDescent="0.25">
      <c r="B34" s="598" t="s">
        <v>0</v>
      </c>
      <c r="C34" s="599"/>
      <c r="D34" s="599"/>
      <c r="E34" s="599"/>
      <c r="F34" s="225">
        <f>+F21+F30</f>
        <v>527350</v>
      </c>
      <c r="G34" s="226"/>
      <c r="H34" s="50"/>
      <c r="I34" s="49"/>
      <c r="J34" s="49"/>
      <c r="K34" s="49"/>
      <c r="L34" s="49"/>
    </row>
    <row r="35" spans="1:21" ht="15.75" x14ac:dyDescent="0.25">
      <c r="A35" s="50"/>
      <c r="B35" s="50"/>
      <c r="C35" s="50"/>
      <c r="D35" s="50"/>
      <c r="E35" s="89" t="s">
        <v>130</v>
      </c>
      <c r="F35" s="90">
        <f>+F22+F31</f>
        <v>66785</v>
      </c>
      <c r="G35" s="50"/>
      <c r="H35" s="50"/>
      <c r="I35" s="49"/>
      <c r="J35" s="49"/>
      <c r="K35" s="49"/>
      <c r="L35" s="49"/>
    </row>
    <row r="36" spans="1:21" ht="21.75" customHeight="1" x14ac:dyDescent="0.25">
      <c r="C36" s="51"/>
      <c r="D36" s="51"/>
      <c r="E36" s="51"/>
      <c r="F36" s="52"/>
      <c r="G36" s="51"/>
      <c r="H36" s="50"/>
      <c r="I36" s="49"/>
      <c r="J36" s="49"/>
      <c r="K36" s="49"/>
      <c r="L36" s="49"/>
    </row>
    <row r="37" spans="1:21" ht="21.75" customHeight="1" x14ac:dyDescent="0.25">
      <c r="C37" s="51"/>
      <c r="D37" s="51"/>
      <c r="E37" s="51"/>
      <c r="F37" s="52"/>
      <c r="G37" s="51"/>
      <c r="H37" s="50"/>
      <c r="I37" s="49"/>
      <c r="J37" s="49"/>
      <c r="K37" s="49"/>
      <c r="L37" s="49"/>
    </row>
    <row r="38" spans="1:21" ht="21.75" customHeight="1" x14ac:dyDescent="0.25">
      <c r="C38" s="51"/>
      <c r="D38" s="51"/>
      <c r="E38" s="51"/>
      <c r="F38" s="52"/>
      <c r="G38" s="51"/>
      <c r="H38" s="50"/>
      <c r="I38" s="49"/>
      <c r="J38" s="49"/>
      <c r="K38" s="49"/>
      <c r="L38" s="49"/>
    </row>
    <row r="39" spans="1:21" ht="21.75" customHeight="1" x14ac:dyDescent="0.25">
      <c r="C39" s="51"/>
      <c r="D39" s="51"/>
      <c r="E39" s="51"/>
      <c r="F39" s="52"/>
      <c r="G39" s="91"/>
      <c r="H39" s="50"/>
      <c r="I39" s="49"/>
      <c r="J39" s="49"/>
      <c r="K39" s="49"/>
      <c r="L39" s="49"/>
    </row>
    <row r="40" spans="1:21" ht="21.75" customHeight="1" x14ac:dyDescent="0.25">
      <c r="C40" s="51"/>
      <c r="D40" s="51"/>
      <c r="E40" s="51"/>
      <c r="F40" s="52"/>
      <c r="G40" s="51"/>
      <c r="H40" s="50"/>
      <c r="I40" s="49"/>
      <c r="J40" s="49"/>
      <c r="K40" s="49"/>
      <c r="L40" s="49"/>
    </row>
    <row r="41" spans="1:21" ht="21.75" customHeight="1" x14ac:dyDescent="0.25">
      <c r="C41" s="51"/>
      <c r="D41" s="51"/>
      <c r="E41" s="51"/>
      <c r="F41" s="52"/>
      <c r="G41" s="51"/>
      <c r="H41" s="50"/>
      <c r="I41" s="49"/>
      <c r="J41" s="49"/>
      <c r="K41" s="49"/>
      <c r="L41" s="49"/>
    </row>
    <row r="42" spans="1:21" ht="21.75" customHeight="1" x14ac:dyDescent="0.25">
      <c r="C42" s="51"/>
      <c r="D42" s="51"/>
      <c r="E42" s="51"/>
      <c r="F42" s="52"/>
      <c r="G42" s="51"/>
      <c r="H42" s="50"/>
      <c r="I42" s="53"/>
      <c r="J42" s="49"/>
      <c r="K42" s="49"/>
      <c r="L42" s="49"/>
    </row>
    <row r="43" spans="1:21" ht="21.75" customHeight="1" x14ac:dyDescent="0.25">
      <c r="C43" s="51"/>
      <c r="D43" s="51"/>
      <c r="E43" s="51"/>
      <c r="F43" s="52"/>
      <c r="G43" s="51"/>
      <c r="H43" s="50"/>
      <c r="I43" s="49"/>
      <c r="J43" s="49"/>
      <c r="K43" s="49"/>
      <c r="L43" s="49"/>
    </row>
    <row r="44" spans="1:21" ht="21.75" customHeight="1" x14ac:dyDescent="0.25">
      <c r="C44" s="51"/>
      <c r="D44" s="51"/>
      <c r="E44" s="51"/>
      <c r="F44" s="52"/>
      <c r="G44" s="51"/>
      <c r="H44" s="50"/>
      <c r="I44" s="49"/>
      <c r="J44" s="49"/>
      <c r="K44" s="49"/>
      <c r="L44" s="49"/>
    </row>
    <row r="45" spans="1:21" ht="21.75" customHeight="1" x14ac:dyDescent="0.25">
      <c r="C45" s="51"/>
      <c r="D45" s="51"/>
      <c r="E45" s="51"/>
      <c r="F45" s="52"/>
      <c r="G45" s="51"/>
      <c r="H45" s="50"/>
      <c r="I45" s="49"/>
      <c r="J45" s="49"/>
      <c r="K45" s="49"/>
      <c r="L45" s="49"/>
    </row>
    <row r="46" spans="1:21" ht="21.75" customHeight="1" x14ac:dyDescent="0.25">
      <c r="C46" s="51"/>
      <c r="D46" s="51"/>
      <c r="E46" s="51"/>
      <c r="F46" s="52"/>
      <c r="G46" s="51"/>
      <c r="H46" s="50"/>
      <c r="I46" s="49"/>
      <c r="J46" s="49"/>
      <c r="K46" s="49"/>
      <c r="L46" s="49"/>
    </row>
    <row r="47" spans="1:21" s="96" customFormat="1" ht="21.75" customHeight="1" x14ac:dyDescent="0.25">
      <c r="A47" s="54"/>
      <c r="B47" s="54"/>
      <c r="C47" s="51"/>
      <c r="D47" s="51"/>
      <c r="E47" s="51"/>
      <c r="F47" s="52"/>
      <c r="G47" s="51"/>
      <c r="H47" s="50"/>
      <c r="I47" s="49"/>
      <c r="J47" s="53"/>
      <c r="K47" s="53"/>
      <c r="L47" s="53"/>
      <c r="M47" s="54"/>
      <c r="N47" s="54"/>
      <c r="O47" s="54"/>
      <c r="P47" s="54"/>
      <c r="Q47" s="54"/>
      <c r="R47" s="54"/>
      <c r="S47" s="54"/>
      <c r="T47" s="54"/>
      <c r="U47" s="54"/>
    </row>
    <row r="48" spans="1:21" s="97" customFormat="1" ht="21.75" customHeight="1" x14ac:dyDescent="0.2">
      <c r="A48" s="49"/>
      <c r="B48" s="49"/>
      <c r="C48" s="51"/>
      <c r="D48" s="51"/>
      <c r="E48" s="51"/>
      <c r="F48" s="52"/>
      <c r="G48" s="51"/>
      <c r="H48" s="49"/>
      <c r="I48" s="49"/>
      <c r="J48" s="49"/>
      <c r="K48" s="49"/>
      <c r="L48" s="49"/>
      <c r="M48" s="49"/>
      <c r="N48" s="49"/>
      <c r="O48" s="49"/>
      <c r="P48" s="49"/>
      <c r="Q48" s="49"/>
      <c r="R48" s="49"/>
      <c r="S48" s="49"/>
      <c r="T48" s="49"/>
      <c r="U48" s="49"/>
    </row>
    <row r="49" spans="1:21" s="97" customFormat="1" ht="21.75" customHeight="1" x14ac:dyDescent="0.2">
      <c r="A49" s="49"/>
      <c r="B49" s="49"/>
      <c r="C49" s="49"/>
      <c r="D49" s="49"/>
      <c r="E49" s="49"/>
      <c r="F49" s="49"/>
      <c r="G49" s="49"/>
      <c r="H49" s="49"/>
      <c r="I49" s="49"/>
      <c r="J49" s="49"/>
      <c r="K49" s="49"/>
      <c r="L49" s="49"/>
      <c r="M49" s="49"/>
      <c r="N49" s="49"/>
      <c r="O49" s="49"/>
      <c r="P49" s="49"/>
      <c r="Q49" s="49"/>
      <c r="R49" s="49"/>
      <c r="S49" s="49"/>
      <c r="T49" s="49"/>
      <c r="U49" s="49"/>
    </row>
    <row r="50" spans="1:21" s="98" customFormat="1" ht="21.75" customHeight="1" x14ac:dyDescent="0.2">
      <c r="A50" s="51"/>
      <c r="B50" s="51"/>
      <c r="C50" s="51"/>
      <c r="D50" s="51"/>
      <c r="E50" s="51"/>
      <c r="F50" s="52"/>
      <c r="G50" s="51"/>
      <c r="H50" s="51"/>
      <c r="I50" s="51"/>
      <c r="J50" s="51"/>
      <c r="K50" s="51"/>
      <c r="L50" s="51"/>
      <c r="M50" s="51"/>
      <c r="N50" s="51"/>
      <c r="O50" s="51"/>
      <c r="P50" s="51"/>
      <c r="Q50" s="51"/>
      <c r="R50" s="51"/>
      <c r="S50" s="51"/>
      <c r="T50" s="51"/>
      <c r="U50" s="51"/>
    </row>
    <row r="51" spans="1:21" s="98" customFormat="1" ht="21.75" customHeight="1" x14ac:dyDescent="0.2">
      <c r="A51" s="51"/>
      <c r="B51" s="51"/>
      <c r="C51" s="51"/>
      <c r="D51" s="51"/>
      <c r="E51" s="51"/>
      <c r="F51" s="52"/>
      <c r="G51" s="51"/>
      <c r="H51" s="51"/>
      <c r="I51" s="51"/>
      <c r="J51" s="51"/>
      <c r="K51" s="51"/>
      <c r="L51" s="51"/>
      <c r="M51" s="51"/>
      <c r="N51" s="51"/>
      <c r="O51" s="51"/>
      <c r="P51" s="51"/>
      <c r="Q51" s="51"/>
      <c r="R51" s="51"/>
      <c r="S51" s="51"/>
      <c r="T51" s="51"/>
      <c r="U51" s="51"/>
    </row>
    <row r="52" spans="1:21" s="98" customFormat="1" ht="21.75" customHeight="1" x14ac:dyDescent="0.2">
      <c r="A52" s="51"/>
      <c r="B52" s="51"/>
      <c r="C52" s="51"/>
      <c r="D52" s="51"/>
      <c r="E52" s="51"/>
      <c r="F52" s="51"/>
      <c r="G52" s="51"/>
      <c r="H52" s="51"/>
      <c r="I52" s="51"/>
      <c r="J52" s="51"/>
      <c r="K52" s="51"/>
      <c r="L52" s="51"/>
      <c r="M52" s="51"/>
      <c r="N52" s="51"/>
      <c r="O52" s="51"/>
      <c r="P52" s="51"/>
      <c r="Q52" s="51"/>
      <c r="R52" s="51"/>
      <c r="S52" s="51"/>
      <c r="T52" s="51"/>
      <c r="U52" s="51"/>
    </row>
    <row r="53" spans="1:21" s="98" customFormat="1" ht="21.75" customHeight="1" x14ac:dyDescent="0.2">
      <c r="A53" s="51"/>
      <c r="B53" s="51"/>
      <c r="C53" s="55"/>
      <c r="D53" s="51"/>
      <c r="E53" s="51"/>
      <c r="F53" s="51"/>
      <c r="G53" s="51"/>
      <c r="H53" s="51"/>
      <c r="I53" s="51"/>
      <c r="J53" s="51"/>
      <c r="K53" s="51"/>
      <c r="L53" s="51"/>
      <c r="M53" s="51"/>
      <c r="N53" s="51"/>
      <c r="O53" s="51"/>
      <c r="P53" s="51"/>
      <c r="Q53" s="51"/>
      <c r="R53" s="51"/>
      <c r="S53" s="51"/>
      <c r="T53" s="51"/>
      <c r="U53" s="51"/>
    </row>
    <row r="54" spans="1:21" s="99" customFormat="1" ht="21.75" customHeight="1" x14ac:dyDescent="0.2">
      <c r="A54" s="51"/>
      <c r="B54" s="51"/>
      <c r="C54" s="51"/>
      <c r="D54" s="51"/>
      <c r="E54" s="51"/>
      <c r="F54" s="51"/>
      <c r="G54" s="51"/>
      <c r="H54" s="51"/>
      <c r="I54" s="51"/>
      <c r="J54" s="51"/>
      <c r="K54" s="51"/>
      <c r="L54" s="51"/>
      <c r="M54" s="56"/>
      <c r="N54" s="56"/>
      <c r="O54" s="56"/>
      <c r="P54" s="56"/>
      <c r="Q54" s="56"/>
      <c r="R54" s="56"/>
      <c r="S54" s="56"/>
      <c r="T54" s="56"/>
      <c r="U54" s="56"/>
    </row>
    <row r="55" spans="1:21" s="99" customFormat="1" ht="39.75" customHeight="1" x14ac:dyDescent="0.2">
      <c r="A55" s="51"/>
      <c r="B55" s="51"/>
      <c r="C55" s="51"/>
      <c r="D55" s="51"/>
      <c r="E55" s="51"/>
      <c r="F55" s="51"/>
      <c r="G55" s="51"/>
      <c r="H55" s="51"/>
      <c r="I55" s="51"/>
      <c r="J55" s="51"/>
      <c r="K55" s="51"/>
      <c r="L55" s="51"/>
      <c r="M55" s="56"/>
      <c r="N55" s="56"/>
      <c r="O55" s="56"/>
      <c r="P55" s="56"/>
      <c r="Q55" s="56"/>
      <c r="R55" s="56"/>
      <c r="S55" s="56"/>
      <c r="T55" s="56"/>
      <c r="U55" s="56"/>
    </row>
    <row r="56" spans="1:21" s="99" customFormat="1" ht="39.75" customHeight="1" x14ac:dyDescent="0.2">
      <c r="A56" s="51"/>
      <c r="B56" s="51"/>
      <c r="C56" s="51"/>
      <c r="D56" s="51"/>
      <c r="E56" s="51"/>
      <c r="F56" s="51"/>
      <c r="G56" s="51"/>
      <c r="H56" s="51"/>
      <c r="I56" s="51"/>
      <c r="J56" s="51"/>
      <c r="K56" s="51"/>
      <c r="L56" s="51"/>
      <c r="M56" s="56"/>
      <c r="N56" s="56"/>
      <c r="O56" s="56"/>
      <c r="P56" s="56"/>
      <c r="Q56" s="56"/>
      <c r="R56" s="56"/>
      <c r="S56" s="56"/>
      <c r="T56" s="56"/>
      <c r="U56" s="56"/>
    </row>
    <row r="57" spans="1:21" ht="39.75" customHeight="1" x14ac:dyDescent="0.2">
      <c r="C57" s="49"/>
      <c r="D57" s="49"/>
      <c r="E57" s="49"/>
      <c r="F57" s="49"/>
      <c r="H57" s="49"/>
      <c r="I57" s="49"/>
      <c r="J57" s="49"/>
      <c r="K57" s="49"/>
      <c r="L57" s="49"/>
    </row>
    <row r="58" spans="1:21" ht="39.75" customHeight="1" x14ac:dyDescent="0.2">
      <c r="C58" s="49"/>
      <c r="D58" s="49"/>
      <c r="E58" s="49"/>
      <c r="F58" s="49"/>
      <c r="H58" s="49"/>
      <c r="I58" s="49"/>
      <c r="J58" s="49"/>
      <c r="K58" s="49"/>
      <c r="L58" s="49"/>
    </row>
    <row r="59" spans="1:21" ht="39.75" customHeight="1" x14ac:dyDescent="0.2">
      <c r="C59" s="49"/>
      <c r="D59" s="49"/>
      <c r="E59" s="49"/>
      <c r="F59" s="49"/>
      <c r="H59" s="49"/>
      <c r="I59" s="49"/>
      <c r="J59" s="49"/>
      <c r="K59" s="49"/>
      <c r="L59" s="49"/>
    </row>
    <row r="60" spans="1:21" ht="39.75" customHeight="1" x14ac:dyDescent="0.2">
      <c r="C60" s="49"/>
      <c r="D60" s="49"/>
      <c r="E60" s="49"/>
      <c r="F60" s="49"/>
      <c r="H60" s="49"/>
      <c r="I60" s="49"/>
      <c r="J60" s="49"/>
      <c r="K60" s="49"/>
      <c r="L60" s="49"/>
    </row>
    <row r="61" spans="1:21" ht="39.75" customHeight="1" x14ac:dyDescent="0.2">
      <c r="C61" s="49"/>
      <c r="D61" s="49"/>
      <c r="E61" s="49"/>
      <c r="F61" s="49"/>
      <c r="H61" s="49"/>
      <c r="I61" s="49"/>
      <c r="J61" s="49"/>
      <c r="K61" s="49"/>
      <c r="L61" s="49"/>
    </row>
    <row r="62" spans="1:21" ht="39.75" customHeight="1" x14ac:dyDescent="0.2">
      <c r="C62" s="49"/>
      <c r="D62" s="49"/>
      <c r="E62" s="49"/>
      <c r="F62" s="49"/>
      <c r="H62" s="49"/>
      <c r="I62" s="49"/>
      <c r="J62" s="49"/>
      <c r="K62" s="49"/>
      <c r="L62" s="49"/>
    </row>
    <row r="63" spans="1:21" ht="39.75" customHeight="1" x14ac:dyDescent="0.2">
      <c r="C63" s="49"/>
      <c r="D63" s="49"/>
      <c r="E63" s="49"/>
      <c r="F63" s="49"/>
      <c r="H63" s="49"/>
      <c r="I63" s="49"/>
      <c r="J63" s="49"/>
      <c r="K63" s="49"/>
      <c r="L63" s="49"/>
    </row>
    <row r="64" spans="1:21" ht="39.75" customHeight="1" x14ac:dyDescent="0.2">
      <c r="C64" s="49"/>
      <c r="D64" s="49"/>
      <c r="E64" s="49"/>
      <c r="F64" s="49"/>
      <c r="H64" s="49"/>
      <c r="I64" s="49"/>
      <c r="J64" s="49"/>
      <c r="K64" s="49"/>
      <c r="L64" s="49"/>
    </row>
    <row r="65" spans="3:12" ht="39.75" customHeight="1" x14ac:dyDescent="0.2">
      <c r="C65" s="49"/>
      <c r="D65" s="49"/>
      <c r="E65" s="49"/>
      <c r="F65" s="49"/>
      <c r="H65" s="49"/>
      <c r="I65" s="49"/>
      <c r="J65" s="49"/>
      <c r="K65" s="49"/>
      <c r="L65" s="49"/>
    </row>
    <row r="66" spans="3:12" ht="39.75" customHeight="1" x14ac:dyDescent="0.2">
      <c r="C66" s="49"/>
      <c r="D66" s="49"/>
      <c r="E66" s="49"/>
      <c r="F66" s="49"/>
      <c r="H66" s="49"/>
      <c r="I66" s="49"/>
      <c r="J66" s="49"/>
      <c r="K66" s="49"/>
      <c r="L66" s="49"/>
    </row>
    <row r="67" spans="3:12" ht="39.75" customHeight="1" x14ac:dyDescent="0.2">
      <c r="C67" s="49"/>
      <c r="D67" s="49"/>
      <c r="E67" s="49"/>
      <c r="F67" s="49"/>
      <c r="H67" s="49"/>
      <c r="I67" s="49"/>
      <c r="J67" s="49"/>
      <c r="K67" s="49"/>
      <c r="L67" s="49"/>
    </row>
    <row r="68" spans="3:12" ht="39.75" customHeight="1" x14ac:dyDescent="0.2">
      <c r="C68" s="49"/>
      <c r="D68" s="49"/>
      <c r="E68" s="49"/>
      <c r="F68" s="49"/>
      <c r="H68" s="49"/>
      <c r="I68" s="49"/>
      <c r="J68" s="49"/>
      <c r="K68" s="49"/>
      <c r="L68" s="49"/>
    </row>
    <row r="69" spans="3:12" ht="39.75" customHeight="1" x14ac:dyDescent="0.2">
      <c r="C69" s="49"/>
      <c r="D69" s="49"/>
      <c r="E69" s="49"/>
      <c r="F69" s="49"/>
      <c r="H69" s="49"/>
      <c r="I69" s="49"/>
      <c r="J69" s="49"/>
      <c r="K69" s="49"/>
      <c r="L69" s="49"/>
    </row>
    <row r="70" spans="3:12" ht="39.75" customHeight="1" x14ac:dyDescent="0.2">
      <c r="C70" s="49"/>
      <c r="D70" s="49"/>
      <c r="E70" s="49"/>
      <c r="F70" s="49"/>
      <c r="H70" s="49"/>
      <c r="I70" s="49"/>
      <c r="J70" s="49"/>
      <c r="K70" s="49"/>
      <c r="L70" s="49"/>
    </row>
    <row r="71" spans="3:12" ht="39.75" customHeight="1" x14ac:dyDescent="0.2">
      <c r="C71" s="49"/>
      <c r="D71" s="49"/>
      <c r="E71" s="49"/>
      <c r="F71" s="49"/>
      <c r="H71" s="49"/>
      <c r="I71" s="49"/>
      <c r="J71" s="49"/>
      <c r="K71" s="49"/>
      <c r="L71" s="49"/>
    </row>
    <row r="72" spans="3:12" ht="39.75" customHeight="1" x14ac:dyDescent="0.2">
      <c r="C72" s="49"/>
      <c r="D72" s="49"/>
      <c r="E72" s="49"/>
      <c r="F72" s="49"/>
      <c r="H72" s="49"/>
      <c r="I72" s="49"/>
      <c r="J72" s="49"/>
      <c r="K72" s="49"/>
      <c r="L72" s="49"/>
    </row>
    <row r="73" spans="3:12" ht="39.75" customHeight="1" x14ac:dyDescent="0.2">
      <c r="C73" s="49"/>
      <c r="D73" s="49"/>
      <c r="E73" s="49"/>
      <c r="F73" s="49"/>
      <c r="H73" s="49"/>
      <c r="I73" s="49"/>
      <c r="J73" s="49"/>
      <c r="K73" s="49"/>
      <c r="L73" s="49"/>
    </row>
    <row r="74" spans="3:12" ht="39.75" customHeight="1" x14ac:dyDescent="0.2">
      <c r="C74" s="49"/>
      <c r="D74" s="49"/>
      <c r="E74" s="49"/>
      <c r="F74" s="49"/>
      <c r="H74" s="49"/>
      <c r="I74" s="49"/>
      <c r="J74" s="49"/>
      <c r="K74" s="49"/>
      <c r="L74" s="49"/>
    </row>
    <row r="75" spans="3:12" ht="39.75" customHeight="1" x14ac:dyDescent="0.2">
      <c r="C75" s="49"/>
      <c r="D75" s="49"/>
      <c r="E75" s="49"/>
      <c r="F75" s="49"/>
      <c r="H75" s="49"/>
      <c r="I75" s="49"/>
      <c r="J75" s="49"/>
      <c r="K75" s="49"/>
      <c r="L75" s="49"/>
    </row>
    <row r="76" spans="3:12" ht="39.75" customHeight="1" x14ac:dyDescent="0.2">
      <c r="C76" s="49"/>
      <c r="D76" s="49"/>
      <c r="E76" s="49"/>
      <c r="F76" s="49"/>
      <c r="H76" s="49"/>
      <c r="I76" s="49"/>
      <c r="J76" s="49"/>
      <c r="K76" s="49"/>
      <c r="L76" s="49"/>
    </row>
    <row r="77" spans="3:12" ht="39.75" customHeight="1" x14ac:dyDescent="0.2">
      <c r="C77" s="49"/>
      <c r="D77" s="49"/>
      <c r="E77" s="49"/>
      <c r="F77" s="49"/>
      <c r="H77" s="49"/>
      <c r="I77" s="49"/>
      <c r="J77" s="49"/>
      <c r="K77" s="49"/>
      <c r="L77" s="49"/>
    </row>
    <row r="78" spans="3:12" ht="39.75" customHeight="1" x14ac:dyDescent="0.2">
      <c r="C78" s="49"/>
      <c r="D78" s="49"/>
      <c r="E78" s="49"/>
      <c r="F78" s="49"/>
      <c r="H78" s="49"/>
      <c r="I78" s="49"/>
      <c r="J78" s="49"/>
      <c r="K78" s="49"/>
      <c r="L78" s="49"/>
    </row>
    <row r="79" spans="3:12" ht="39.75" customHeight="1" x14ac:dyDescent="0.2">
      <c r="C79" s="49"/>
      <c r="D79" s="49"/>
      <c r="E79" s="49"/>
      <c r="F79" s="49"/>
      <c r="H79" s="49"/>
      <c r="I79" s="49"/>
      <c r="J79" s="49"/>
      <c r="K79" s="49"/>
      <c r="L79" s="49"/>
    </row>
    <row r="80" spans="3:12" ht="39.75" customHeight="1" x14ac:dyDescent="0.2">
      <c r="C80" s="49"/>
      <c r="D80" s="49"/>
      <c r="E80" s="49"/>
      <c r="F80" s="49"/>
      <c r="H80" s="49"/>
      <c r="I80" s="49"/>
      <c r="J80" s="49"/>
      <c r="K80" s="49"/>
      <c r="L80" s="49"/>
    </row>
    <row r="81" spans="3:12" ht="39.75" customHeight="1" x14ac:dyDescent="0.2">
      <c r="C81" s="49"/>
      <c r="D81" s="49"/>
      <c r="E81" s="49"/>
      <c r="F81" s="49"/>
      <c r="H81" s="49"/>
      <c r="I81" s="49"/>
      <c r="J81" s="49"/>
      <c r="K81" s="49"/>
      <c r="L81" s="49"/>
    </row>
    <row r="82" spans="3:12" ht="39.75" customHeight="1" x14ac:dyDescent="0.2">
      <c r="C82" s="49"/>
      <c r="D82" s="49"/>
      <c r="E82" s="49"/>
      <c r="F82" s="49"/>
      <c r="H82" s="49"/>
      <c r="I82" s="49"/>
      <c r="J82" s="49"/>
      <c r="K82" s="49"/>
      <c r="L82" s="49"/>
    </row>
    <row r="83" spans="3:12" ht="39.75" customHeight="1" x14ac:dyDescent="0.2">
      <c r="C83" s="49"/>
      <c r="D83" s="49"/>
      <c r="E83" s="49"/>
      <c r="F83" s="49"/>
      <c r="H83" s="49"/>
      <c r="I83" s="49"/>
      <c r="J83" s="49"/>
      <c r="K83" s="49"/>
      <c r="L83" s="49"/>
    </row>
    <row r="84" spans="3:12" ht="39.75" customHeight="1" x14ac:dyDescent="0.2">
      <c r="C84" s="49"/>
      <c r="D84" s="49"/>
      <c r="E84" s="49"/>
      <c r="F84" s="49"/>
      <c r="H84" s="49"/>
      <c r="I84" s="49"/>
      <c r="J84" s="49"/>
      <c r="K84" s="49"/>
      <c r="L84" s="49"/>
    </row>
    <row r="85" spans="3:12" ht="39.75" customHeight="1" x14ac:dyDescent="0.2">
      <c r="C85" s="49"/>
      <c r="D85" s="49"/>
      <c r="E85" s="49"/>
      <c r="F85" s="49"/>
      <c r="H85" s="49"/>
      <c r="I85" s="49"/>
      <c r="J85" s="49"/>
      <c r="K85" s="49"/>
      <c r="L85" s="49"/>
    </row>
    <row r="86" spans="3:12" ht="39.75" customHeight="1" x14ac:dyDescent="0.2">
      <c r="C86" s="49"/>
      <c r="D86" s="49"/>
      <c r="E86" s="49"/>
      <c r="F86" s="49"/>
      <c r="H86" s="49"/>
      <c r="I86" s="49"/>
      <c r="J86" s="49"/>
      <c r="K86" s="49"/>
      <c r="L86" s="49"/>
    </row>
    <row r="87" spans="3:12" ht="39.75" customHeight="1" x14ac:dyDescent="0.2">
      <c r="C87" s="49"/>
      <c r="D87" s="49"/>
      <c r="E87" s="49"/>
      <c r="F87" s="49"/>
      <c r="H87" s="49"/>
      <c r="I87" s="49"/>
      <c r="J87" s="49"/>
      <c r="K87" s="49"/>
      <c r="L87" s="49"/>
    </row>
    <row r="88" spans="3:12" ht="39.75" customHeight="1" x14ac:dyDescent="0.2">
      <c r="C88" s="49"/>
      <c r="D88" s="49"/>
      <c r="E88" s="49"/>
      <c r="F88" s="49"/>
      <c r="H88" s="49"/>
      <c r="I88" s="49"/>
      <c r="J88" s="49"/>
      <c r="K88" s="49"/>
      <c r="L88" s="49"/>
    </row>
    <row r="89" spans="3:12" ht="39.75" customHeight="1" x14ac:dyDescent="0.2">
      <c r="C89" s="49"/>
      <c r="D89" s="49"/>
      <c r="E89" s="49"/>
      <c r="F89" s="49"/>
      <c r="H89" s="49"/>
      <c r="I89" s="49"/>
      <c r="J89" s="49"/>
      <c r="K89" s="49"/>
      <c r="L89" s="49"/>
    </row>
    <row r="90" spans="3:12" ht="39.75" customHeight="1" x14ac:dyDescent="0.2">
      <c r="C90" s="49"/>
      <c r="D90" s="49"/>
      <c r="E90" s="49"/>
      <c r="F90" s="49"/>
      <c r="H90" s="49"/>
      <c r="I90" s="49"/>
      <c r="J90" s="49"/>
      <c r="K90" s="49"/>
      <c r="L90" s="49"/>
    </row>
    <row r="91" spans="3:12" ht="39.75" customHeight="1" x14ac:dyDescent="0.2">
      <c r="C91" s="49"/>
      <c r="D91" s="49"/>
      <c r="E91" s="49"/>
      <c r="F91" s="49"/>
      <c r="H91" s="49"/>
      <c r="I91" s="49"/>
      <c r="J91" s="49"/>
      <c r="K91" s="49"/>
      <c r="L91" s="49"/>
    </row>
    <row r="92" spans="3:12" ht="39.75" customHeight="1" x14ac:dyDescent="0.2">
      <c r="C92" s="49"/>
      <c r="D92" s="49"/>
      <c r="E92" s="49"/>
      <c r="F92" s="49"/>
      <c r="H92" s="49"/>
      <c r="I92" s="49"/>
      <c r="J92" s="49"/>
      <c r="K92" s="49"/>
      <c r="L92" s="49"/>
    </row>
    <row r="93" spans="3:12" ht="39.75" customHeight="1" x14ac:dyDescent="0.2">
      <c r="C93" s="49"/>
      <c r="D93" s="49"/>
      <c r="E93" s="49"/>
      <c r="F93" s="49"/>
      <c r="H93" s="49"/>
      <c r="I93" s="49"/>
      <c r="J93" s="49"/>
      <c r="K93" s="49"/>
      <c r="L93" s="49"/>
    </row>
    <row r="94" spans="3:12" ht="39.75" customHeight="1" x14ac:dyDescent="0.2">
      <c r="C94" s="49"/>
      <c r="D94" s="49"/>
      <c r="E94" s="49"/>
      <c r="F94" s="49"/>
      <c r="H94" s="49"/>
      <c r="I94" s="49"/>
      <c r="J94" s="49"/>
      <c r="K94" s="49"/>
      <c r="L94" s="49"/>
    </row>
    <row r="95" spans="3:12" ht="39.75" customHeight="1" x14ac:dyDescent="0.2">
      <c r="C95" s="49"/>
      <c r="D95" s="49"/>
      <c r="E95" s="49"/>
      <c r="F95" s="49"/>
      <c r="H95" s="49"/>
      <c r="I95" s="49"/>
      <c r="J95" s="49"/>
      <c r="K95" s="49"/>
      <c r="L95" s="49"/>
    </row>
    <row r="96" spans="3:12" ht="39.75" customHeight="1" x14ac:dyDescent="0.2">
      <c r="C96" s="49"/>
      <c r="D96" s="49"/>
      <c r="E96" s="49"/>
      <c r="F96" s="49"/>
      <c r="H96" s="49"/>
      <c r="I96" s="49"/>
      <c r="J96" s="49"/>
      <c r="K96" s="49"/>
      <c r="L96" s="49"/>
    </row>
    <row r="97" spans="3:12" ht="39.75" customHeight="1" x14ac:dyDescent="0.2">
      <c r="C97" s="49"/>
      <c r="D97" s="49"/>
      <c r="E97" s="49"/>
      <c r="F97" s="49"/>
      <c r="H97" s="49"/>
      <c r="I97" s="49"/>
      <c r="J97" s="49"/>
      <c r="K97" s="49"/>
      <c r="L97" s="49"/>
    </row>
    <row r="98" spans="3:12" ht="39.75" customHeight="1" x14ac:dyDescent="0.2">
      <c r="C98" s="49"/>
      <c r="D98" s="49"/>
      <c r="E98" s="49"/>
      <c r="F98" s="49"/>
      <c r="H98" s="49"/>
      <c r="I98" s="49"/>
      <c r="J98" s="49"/>
      <c r="K98" s="49"/>
      <c r="L98" s="49"/>
    </row>
    <row r="99" spans="3:12" ht="39.75" customHeight="1" x14ac:dyDescent="0.2">
      <c r="C99" s="49"/>
      <c r="D99" s="49"/>
      <c r="E99" s="49"/>
      <c r="F99" s="49"/>
      <c r="H99" s="49"/>
      <c r="I99" s="49"/>
      <c r="J99" s="49"/>
      <c r="K99" s="49"/>
      <c r="L99" s="49"/>
    </row>
    <row r="100" spans="3:12" ht="39.75" customHeight="1" x14ac:dyDescent="0.2">
      <c r="C100" s="49"/>
      <c r="D100" s="49"/>
      <c r="E100" s="49"/>
      <c r="F100" s="49"/>
      <c r="H100" s="49"/>
      <c r="I100" s="49"/>
      <c r="J100" s="49"/>
      <c r="K100" s="49"/>
      <c r="L100" s="49"/>
    </row>
    <row r="101" spans="3:12" ht="39.75" customHeight="1" x14ac:dyDescent="0.2">
      <c r="C101" s="49"/>
      <c r="D101" s="49"/>
      <c r="E101" s="49"/>
      <c r="F101" s="49"/>
      <c r="H101" s="49"/>
      <c r="I101" s="49"/>
      <c r="J101" s="49"/>
      <c r="K101" s="49"/>
      <c r="L101" s="49"/>
    </row>
    <row r="102" spans="3:12" ht="39.75" customHeight="1" x14ac:dyDescent="0.2">
      <c r="C102" s="49"/>
      <c r="D102" s="49"/>
      <c r="E102" s="49"/>
      <c r="F102" s="49"/>
      <c r="H102" s="49"/>
      <c r="I102" s="49"/>
      <c r="J102" s="49"/>
      <c r="K102" s="49"/>
      <c r="L102" s="49"/>
    </row>
    <row r="103" spans="3:12" ht="39.75" customHeight="1" x14ac:dyDescent="0.2">
      <c r="C103" s="49"/>
      <c r="D103" s="49"/>
      <c r="E103" s="49"/>
      <c r="F103" s="49"/>
      <c r="H103" s="49"/>
      <c r="I103" s="49"/>
      <c r="J103" s="49"/>
      <c r="K103" s="49"/>
      <c r="L103" s="49"/>
    </row>
    <row r="104" spans="3:12" ht="39.75" customHeight="1" x14ac:dyDescent="0.2">
      <c r="C104" s="49"/>
      <c r="D104" s="49"/>
      <c r="E104" s="49"/>
      <c r="F104" s="49"/>
      <c r="H104" s="49"/>
      <c r="I104" s="49"/>
      <c r="J104" s="49"/>
      <c r="K104" s="49"/>
      <c r="L104" s="49"/>
    </row>
    <row r="105" spans="3:12" ht="39.75" customHeight="1" x14ac:dyDescent="0.2">
      <c r="C105" s="49"/>
      <c r="D105" s="49"/>
      <c r="E105" s="49"/>
      <c r="F105" s="49"/>
      <c r="H105" s="49"/>
      <c r="I105" s="49"/>
      <c r="J105" s="49"/>
      <c r="K105" s="49"/>
      <c r="L105" s="49"/>
    </row>
    <row r="106" spans="3:12" ht="39.75" customHeight="1" x14ac:dyDescent="0.2">
      <c r="C106" s="49"/>
      <c r="D106" s="49"/>
      <c r="E106" s="49"/>
      <c r="F106" s="49"/>
      <c r="H106" s="49"/>
      <c r="I106" s="49"/>
      <c r="J106" s="49"/>
      <c r="K106" s="49"/>
      <c r="L106" s="49"/>
    </row>
    <row r="107" spans="3:12" ht="39.75" customHeight="1" x14ac:dyDescent="0.2">
      <c r="C107" s="49"/>
      <c r="D107" s="49"/>
      <c r="E107" s="49"/>
      <c r="F107" s="49"/>
      <c r="H107" s="49"/>
      <c r="I107" s="49"/>
      <c r="J107" s="49"/>
      <c r="K107" s="49"/>
      <c r="L107" s="49"/>
    </row>
    <row r="108" spans="3:12" ht="39.75" customHeight="1" x14ac:dyDescent="0.2">
      <c r="C108" s="49"/>
      <c r="D108" s="49"/>
      <c r="E108" s="49"/>
      <c r="F108" s="49"/>
      <c r="H108" s="49"/>
      <c r="I108" s="49"/>
      <c r="J108" s="49"/>
      <c r="K108" s="49"/>
      <c r="L108" s="49"/>
    </row>
    <row r="109" spans="3:12" ht="39.75" customHeight="1" x14ac:dyDescent="0.2">
      <c r="C109" s="49"/>
      <c r="D109" s="49"/>
      <c r="E109" s="49"/>
      <c r="F109" s="49"/>
      <c r="H109" s="49"/>
      <c r="I109" s="49"/>
      <c r="J109" s="49"/>
      <c r="K109" s="49"/>
      <c r="L109" s="49"/>
    </row>
    <row r="110" spans="3:12" ht="39.75" customHeight="1" x14ac:dyDescent="0.2">
      <c r="C110" s="49"/>
      <c r="D110" s="49"/>
      <c r="E110" s="49"/>
      <c r="F110" s="49"/>
      <c r="H110" s="49"/>
      <c r="I110" s="49"/>
      <c r="J110" s="49"/>
      <c r="K110" s="49"/>
      <c r="L110" s="49"/>
    </row>
    <row r="111" spans="3:12" ht="39.75" customHeight="1" x14ac:dyDescent="0.2">
      <c r="C111" s="49"/>
      <c r="D111" s="49"/>
      <c r="E111" s="49"/>
      <c r="F111" s="49"/>
      <c r="H111" s="49"/>
      <c r="I111" s="49"/>
      <c r="J111" s="49"/>
      <c r="K111" s="49"/>
      <c r="L111" s="49"/>
    </row>
    <row r="112" spans="3:12" ht="39.75" customHeight="1" x14ac:dyDescent="0.2">
      <c r="C112" s="49"/>
      <c r="D112" s="49"/>
      <c r="E112" s="49"/>
      <c r="F112" s="49"/>
      <c r="H112" s="49"/>
      <c r="I112" s="49"/>
      <c r="J112" s="49"/>
      <c r="K112" s="49"/>
      <c r="L112" s="49"/>
    </row>
    <row r="113" spans="3:12" ht="39.75" customHeight="1" x14ac:dyDescent="0.2">
      <c r="C113" s="49"/>
      <c r="D113" s="49"/>
      <c r="E113" s="49"/>
      <c r="F113" s="49"/>
      <c r="H113" s="49"/>
      <c r="I113" s="49"/>
      <c r="J113" s="49"/>
      <c r="K113" s="49"/>
      <c r="L113" s="49"/>
    </row>
    <row r="114" spans="3:12" ht="39.75" customHeight="1" x14ac:dyDescent="0.2">
      <c r="C114" s="49"/>
      <c r="D114" s="49"/>
      <c r="E114" s="49"/>
      <c r="F114" s="49"/>
      <c r="H114" s="49"/>
      <c r="I114" s="49"/>
      <c r="J114" s="49"/>
      <c r="K114" s="49"/>
      <c r="L114" s="49"/>
    </row>
    <row r="115" spans="3:12" ht="39.75" customHeight="1" x14ac:dyDescent="0.2">
      <c r="C115" s="49"/>
      <c r="D115" s="49"/>
      <c r="E115" s="49"/>
      <c r="F115" s="49"/>
      <c r="H115" s="49"/>
      <c r="I115" s="49"/>
      <c r="J115" s="49"/>
      <c r="K115" s="49"/>
      <c r="L115" s="49"/>
    </row>
    <row r="116" spans="3:12" ht="39.75" customHeight="1" x14ac:dyDescent="0.2">
      <c r="C116" s="49"/>
      <c r="D116" s="49"/>
      <c r="E116" s="49"/>
      <c r="F116" s="49"/>
      <c r="H116" s="49"/>
      <c r="I116" s="49"/>
      <c r="J116" s="49"/>
      <c r="K116" s="49"/>
      <c r="L116" s="49"/>
    </row>
    <row r="117" spans="3:12" ht="39.75" customHeight="1" x14ac:dyDescent="0.2">
      <c r="C117" s="49"/>
      <c r="D117" s="49"/>
      <c r="E117" s="49"/>
      <c r="F117" s="49"/>
      <c r="H117" s="49"/>
      <c r="I117" s="49"/>
      <c r="J117" s="49"/>
      <c r="K117" s="49"/>
      <c r="L117" s="49"/>
    </row>
    <row r="118" spans="3:12" ht="39.75" customHeight="1" x14ac:dyDescent="0.2">
      <c r="C118" s="49"/>
      <c r="D118" s="49"/>
      <c r="E118" s="49"/>
      <c r="F118" s="49"/>
      <c r="H118" s="49"/>
      <c r="I118" s="49"/>
      <c r="J118" s="49"/>
      <c r="K118" s="49"/>
      <c r="L118" s="49"/>
    </row>
    <row r="119" spans="3:12" x14ac:dyDescent="0.2">
      <c r="C119" s="49"/>
      <c r="D119" s="49"/>
      <c r="E119" s="49"/>
      <c r="F119" s="49"/>
      <c r="H119" s="49"/>
      <c r="I119" s="49"/>
      <c r="J119" s="49"/>
      <c r="K119" s="49"/>
      <c r="L119" s="49"/>
    </row>
    <row r="120" spans="3:12" x14ac:dyDescent="0.2">
      <c r="C120" s="49"/>
      <c r="D120" s="49"/>
      <c r="E120" s="49"/>
      <c r="F120" s="49"/>
      <c r="H120" s="49"/>
      <c r="I120" s="49"/>
      <c r="J120" s="49"/>
      <c r="K120" s="49"/>
      <c r="L120" s="49"/>
    </row>
    <row r="121" spans="3:12" x14ac:dyDescent="0.2">
      <c r="C121" s="49"/>
      <c r="D121" s="49"/>
      <c r="E121" s="49"/>
      <c r="F121" s="49"/>
      <c r="H121" s="49"/>
      <c r="I121" s="49"/>
      <c r="J121" s="49"/>
      <c r="K121" s="49"/>
      <c r="L121" s="49"/>
    </row>
    <row r="122" spans="3:12" x14ac:dyDescent="0.2">
      <c r="C122" s="49"/>
      <c r="D122" s="49"/>
      <c r="E122" s="49"/>
      <c r="F122" s="49"/>
      <c r="H122" s="49"/>
      <c r="I122" s="49"/>
      <c r="J122" s="49"/>
      <c r="K122" s="49"/>
      <c r="L122" s="49"/>
    </row>
    <row r="123" spans="3:12" x14ac:dyDescent="0.2">
      <c r="C123" s="49"/>
      <c r="D123" s="49"/>
      <c r="E123" s="49"/>
      <c r="F123" s="49"/>
      <c r="H123" s="49"/>
      <c r="I123" s="49"/>
      <c r="J123" s="49"/>
      <c r="K123" s="49"/>
      <c r="L123" s="49"/>
    </row>
    <row r="124" spans="3:12" x14ac:dyDescent="0.2">
      <c r="C124" s="49"/>
      <c r="D124" s="49"/>
      <c r="E124" s="49"/>
      <c r="F124" s="49"/>
      <c r="H124" s="49"/>
      <c r="I124" s="49"/>
      <c r="J124" s="49"/>
      <c r="K124" s="49"/>
      <c r="L124" s="49"/>
    </row>
    <row r="125" spans="3:12" x14ac:dyDescent="0.2">
      <c r="C125" s="49"/>
      <c r="D125" s="49"/>
      <c r="E125" s="49"/>
      <c r="F125" s="49"/>
      <c r="H125" s="49"/>
      <c r="I125" s="49"/>
      <c r="J125" s="49"/>
      <c r="K125" s="49"/>
      <c r="L125" s="49"/>
    </row>
    <row r="126" spans="3:12" x14ac:dyDescent="0.2">
      <c r="C126" s="49"/>
      <c r="D126" s="49"/>
      <c r="E126" s="49"/>
      <c r="F126" s="49"/>
      <c r="H126" s="49"/>
      <c r="I126" s="49"/>
      <c r="J126" s="49"/>
      <c r="K126" s="49"/>
      <c r="L126" s="49"/>
    </row>
    <row r="127" spans="3:12" x14ac:dyDescent="0.2">
      <c r="C127" s="49"/>
      <c r="D127" s="49"/>
      <c r="E127" s="49"/>
      <c r="F127" s="49"/>
      <c r="H127" s="49"/>
      <c r="I127" s="49"/>
      <c r="J127" s="49"/>
      <c r="K127" s="49"/>
      <c r="L127" s="49"/>
    </row>
    <row r="128" spans="3:12" x14ac:dyDescent="0.2">
      <c r="C128" s="49"/>
      <c r="D128" s="49"/>
      <c r="E128" s="49"/>
      <c r="F128" s="49"/>
      <c r="H128" s="49"/>
      <c r="I128" s="49"/>
      <c r="J128" s="49"/>
      <c r="K128" s="49"/>
      <c r="L128" s="49"/>
    </row>
    <row r="129" spans="3:12" x14ac:dyDescent="0.2">
      <c r="C129" s="49"/>
      <c r="D129" s="49"/>
      <c r="E129" s="49"/>
      <c r="F129" s="49"/>
      <c r="H129" s="49"/>
      <c r="I129" s="49"/>
      <c r="J129" s="49"/>
      <c r="K129" s="49"/>
      <c r="L129" s="49"/>
    </row>
    <row r="130" spans="3:12" x14ac:dyDescent="0.2">
      <c r="C130" s="49"/>
      <c r="D130" s="49"/>
      <c r="E130" s="49"/>
      <c r="F130" s="49"/>
      <c r="H130" s="49"/>
      <c r="I130" s="49"/>
      <c r="J130" s="49"/>
      <c r="K130" s="49"/>
      <c r="L130" s="49"/>
    </row>
    <row r="131" spans="3:12" x14ac:dyDescent="0.2">
      <c r="C131" s="49"/>
      <c r="D131" s="49"/>
      <c r="E131" s="49"/>
      <c r="F131" s="49"/>
      <c r="H131" s="49"/>
      <c r="I131" s="49"/>
      <c r="J131" s="49"/>
      <c r="K131" s="49"/>
      <c r="L131" s="49"/>
    </row>
    <row r="132" spans="3:12" x14ac:dyDescent="0.2">
      <c r="C132" s="49"/>
      <c r="D132" s="49"/>
      <c r="E132" s="49"/>
      <c r="F132" s="49"/>
      <c r="H132" s="49"/>
      <c r="I132" s="49"/>
      <c r="J132" s="49"/>
      <c r="K132" s="49"/>
      <c r="L132" s="49"/>
    </row>
    <row r="133" spans="3:12" x14ac:dyDescent="0.2">
      <c r="C133" s="49"/>
      <c r="D133" s="49"/>
      <c r="E133" s="49"/>
      <c r="F133" s="49"/>
      <c r="H133" s="49"/>
      <c r="I133" s="49"/>
      <c r="J133" s="49"/>
      <c r="K133" s="49"/>
      <c r="L133" s="49"/>
    </row>
    <row r="134" spans="3:12" x14ac:dyDescent="0.2">
      <c r="C134" s="49"/>
      <c r="D134" s="49"/>
      <c r="E134" s="49"/>
      <c r="F134" s="49"/>
      <c r="H134" s="49"/>
      <c r="I134" s="49"/>
      <c r="J134" s="49"/>
      <c r="K134" s="49"/>
      <c r="L134" s="49"/>
    </row>
    <row r="135" spans="3:12" x14ac:dyDescent="0.2">
      <c r="C135" s="49"/>
      <c r="D135" s="49"/>
      <c r="E135" s="49"/>
      <c r="F135" s="49"/>
      <c r="H135" s="49"/>
      <c r="I135" s="49"/>
      <c r="J135" s="49"/>
      <c r="K135" s="49"/>
      <c r="L135" s="49"/>
    </row>
    <row r="136" spans="3:12" x14ac:dyDescent="0.2">
      <c r="C136" s="49"/>
      <c r="D136" s="49"/>
      <c r="E136" s="49"/>
      <c r="F136" s="49"/>
      <c r="H136" s="49"/>
      <c r="I136" s="49"/>
      <c r="J136" s="49"/>
      <c r="K136" s="49"/>
      <c r="L136" s="49"/>
    </row>
    <row r="137" spans="3:12" x14ac:dyDescent="0.2">
      <c r="C137" s="49"/>
      <c r="D137" s="49"/>
      <c r="E137" s="49"/>
      <c r="F137" s="49"/>
      <c r="H137" s="49"/>
      <c r="I137" s="49"/>
      <c r="J137" s="49"/>
      <c r="K137" s="49"/>
      <c r="L137" s="49"/>
    </row>
    <row r="138" spans="3:12" x14ac:dyDescent="0.2">
      <c r="C138" s="49"/>
      <c r="D138" s="49"/>
      <c r="E138" s="49"/>
      <c r="F138" s="49"/>
      <c r="H138" s="49"/>
      <c r="I138" s="49"/>
      <c r="J138" s="49"/>
      <c r="K138" s="49"/>
      <c r="L138" s="49"/>
    </row>
    <row r="139" spans="3:12" x14ac:dyDescent="0.2">
      <c r="C139" s="49"/>
      <c r="D139" s="49"/>
      <c r="E139" s="49"/>
      <c r="F139" s="49"/>
      <c r="H139" s="49"/>
      <c r="I139" s="49"/>
      <c r="J139" s="49"/>
      <c r="K139" s="49"/>
      <c r="L139" s="49"/>
    </row>
    <row r="140" spans="3:12" x14ac:dyDescent="0.2">
      <c r="C140" s="49"/>
      <c r="D140" s="49"/>
      <c r="E140" s="49"/>
      <c r="F140" s="49"/>
      <c r="H140" s="49"/>
      <c r="I140" s="49"/>
      <c r="J140" s="49"/>
      <c r="K140" s="49"/>
      <c r="L140" s="49"/>
    </row>
    <row r="141" spans="3:12" x14ac:dyDescent="0.2">
      <c r="C141" s="49"/>
      <c r="D141" s="49"/>
      <c r="E141" s="49"/>
      <c r="F141" s="49"/>
      <c r="H141" s="49"/>
      <c r="I141" s="49"/>
      <c r="J141" s="49"/>
      <c r="K141" s="49"/>
      <c r="L141" s="49"/>
    </row>
    <row r="142" spans="3:12" x14ac:dyDescent="0.2">
      <c r="C142" s="49"/>
      <c r="D142" s="49"/>
      <c r="E142" s="49"/>
      <c r="F142" s="49"/>
      <c r="H142" s="49"/>
      <c r="I142" s="49"/>
      <c r="J142" s="49"/>
      <c r="K142" s="49"/>
      <c r="L142" s="49"/>
    </row>
    <row r="143" spans="3:12" x14ac:dyDescent="0.2">
      <c r="C143" s="49"/>
      <c r="D143" s="49"/>
      <c r="E143" s="49"/>
      <c r="F143" s="49"/>
      <c r="H143" s="49"/>
      <c r="I143" s="49"/>
      <c r="J143" s="49"/>
      <c r="K143" s="49"/>
      <c r="L143" s="49"/>
    </row>
    <row r="144" spans="3:12" x14ac:dyDescent="0.2">
      <c r="C144" s="49"/>
      <c r="D144" s="49"/>
      <c r="E144" s="49"/>
      <c r="F144" s="49"/>
      <c r="H144" s="49"/>
      <c r="I144" s="49"/>
      <c r="J144" s="49"/>
      <c r="K144" s="49"/>
      <c r="L144" s="49"/>
    </row>
    <row r="145" spans="3:12" x14ac:dyDescent="0.2">
      <c r="C145" s="49"/>
      <c r="D145" s="49"/>
      <c r="E145" s="49"/>
      <c r="F145" s="49"/>
      <c r="H145" s="49"/>
      <c r="I145" s="49"/>
      <c r="J145" s="49"/>
      <c r="K145" s="49"/>
      <c r="L145" s="49"/>
    </row>
    <row r="146" spans="3:12" x14ac:dyDescent="0.2">
      <c r="C146" s="49"/>
      <c r="D146" s="49"/>
      <c r="E146" s="49"/>
      <c r="F146" s="49"/>
      <c r="H146" s="49"/>
      <c r="I146" s="49"/>
      <c r="J146" s="49"/>
      <c r="K146" s="49"/>
      <c r="L146" s="49"/>
    </row>
    <row r="147" spans="3:12" x14ac:dyDescent="0.2">
      <c r="C147" s="49"/>
      <c r="D147" s="49"/>
      <c r="E147" s="49"/>
      <c r="F147" s="49"/>
      <c r="H147" s="49"/>
      <c r="I147" s="49"/>
      <c r="J147" s="49"/>
      <c r="K147" s="49"/>
      <c r="L147" s="49"/>
    </row>
    <row r="148" spans="3:12" x14ac:dyDescent="0.2">
      <c r="C148" s="49"/>
      <c r="D148" s="49"/>
      <c r="E148" s="49"/>
      <c r="F148" s="49"/>
      <c r="H148" s="49"/>
      <c r="I148" s="49"/>
      <c r="J148" s="49"/>
      <c r="K148" s="49"/>
      <c r="L148" s="49"/>
    </row>
    <row r="149" spans="3:12" x14ac:dyDescent="0.2">
      <c r="C149" s="49"/>
      <c r="D149" s="49"/>
      <c r="E149" s="49"/>
      <c r="F149" s="49"/>
      <c r="H149" s="49"/>
      <c r="I149" s="49"/>
      <c r="J149" s="49"/>
      <c r="K149" s="49"/>
      <c r="L149" s="49"/>
    </row>
    <row r="150" spans="3:12" x14ac:dyDescent="0.2">
      <c r="C150" s="49"/>
      <c r="D150" s="49"/>
      <c r="E150" s="49"/>
      <c r="F150" s="49"/>
      <c r="H150" s="49"/>
      <c r="I150" s="49"/>
      <c r="J150" s="49"/>
      <c r="K150" s="49"/>
      <c r="L150" s="49"/>
    </row>
    <row r="151" spans="3:12" x14ac:dyDescent="0.2">
      <c r="C151" s="49"/>
      <c r="D151" s="49"/>
      <c r="E151" s="49"/>
      <c r="F151" s="49"/>
      <c r="H151" s="49"/>
      <c r="I151" s="49"/>
      <c r="J151" s="49"/>
      <c r="K151" s="49"/>
      <c r="L151" s="49"/>
    </row>
    <row r="152" spans="3:12" x14ac:dyDescent="0.2">
      <c r="C152" s="49"/>
      <c r="D152" s="49"/>
      <c r="E152" s="49"/>
      <c r="F152" s="49"/>
      <c r="H152" s="49"/>
      <c r="I152" s="49"/>
      <c r="J152" s="49"/>
      <c r="K152" s="49"/>
      <c r="L152" s="49"/>
    </row>
    <row r="153" spans="3:12" x14ac:dyDescent="0.2">
      <c r="C153" s="49"/>
      <c r="D153" s="49"/>
      <c r="E153" s="49"/>
      <c r="F153" s="49"/>
      <c r="H153" s="49"/>
      <c r="I153" s="49"/>
      <c r="J153" s="49"/>
      <c r="K153" s="49"/>
      <c r="L153" s="49"/>
    </row>
    <row r="154" spans="3:12" x14ac:dyDescent="0.2">
      <c r="C154" s="49"/>
      <c r="D154" s="49"/>
      <c r="E154" s="49"/>
      <c r="F154" s="49"/>
      <c r="H154" s="49"/>
      <c r="I154" s="49"/>
      <c r="J154" s="49"/>
      <c r="K154" s="49"/>
      <c r="L154" s="49"/>
    </row>
    <row r="155" spans="3:12" x14ac:dyDescent="0.2">
      <c r="C155" s="49"/>
      <c r="D155" s="49"/>
      <c r="E155" s="49"/>
      <c r="F155" s="49"/>
      <c r="H155" s="49"/>
      <c r="I155" s="49"/>
      <c r="J155" s="49"/>
      <c r="K155" s="49"/>
      <c r="L155" s="49"/>
    </row>
    <row r="156" spans="3:12" x14ac:dyDescent="0.2">
      <c r="C156" s="49"/>
      <c r="D156" s="49"/>
      <c r="E156" s="49"/>
      <c r="F156" s="49"/>
      <c r="H156" s="49"/>
      <c r="I156" s="49"/>
      <c r="J156" s="49"/>
      <c r="K156" s="49"/>
      <c r="L156" s="49"/>
    </row>
    <row r="157" spans="3:12" x14ac:dyDescent="0.2">
      <c r="C157" s="49"/>
      <c r="D157" s="49"/>
      <c r="E157" s="49"/>
      <c r="F157" s="49"/>
      <c r="H157" s="49"/>
      <c r="I157" s="49"/>
      <c r="J157" s="49"/>
      <c r="K157" s="49"/>
      <c r="L157" s="49"/>
    </row>
    <row r="158" spans="3:12" x14ac:dyDescent="0.2">
      <c r="C158" s="49"/>
      <c r="D158" s="49"/>
      <c r="E158" s="49"/>
      <c r="F158" s="49"/>
      <c r="H158" s="49"/>
      <c r="I158" s="49"/>
      <c r="J158" s="49"/>
      <c r="K158" s="49"/>
      <c r="L158" s="49"/>
    </row>
    <row r="159" spans="3:12" x14ac:dyDescent="0.2">
      <c r="C159" s="49"/>
      <c r="D159" s="49"/>
      <c r="E159" s="49"/>
      <c r="F159" s="49"/>
      <c r="H159" s="49"/>
      <c r="I159" s="49"/>
      <c r="J159" s="49"/>
      <c r="K159" s="49"/>
      <c r="L159" s="49"/>
    </row>
    <row r="160" spans="3:12" x14ac:dyDescent="0.2">
      <c r="C160" s="49"/>
      <c r="D160" s="49"/>
      <c r="E160" s="49"/>
      <c r="F160" s="49"/>
      <c r="H160" s="49"/>
      <c r="I160" s="49"/>
      <c r="J160" s="49"/>
      <c r="K160" s="49"/>
      <c r="L160" s="49"/>
    </row>
    <row r="161" spans="3:12" x14ac:dyDescent="0.2">
      <c r="C161" s="49"/>
      <c r="D161" s="49"/>
      <c r="E161" s="49"/>
      <c r="F161" s="49"/>
      <c r="H161" s="49"/>
      <c r="I161" s="49"/>
      <c r="J161" s="49"/>
      <c r="K161" s="49"/>
      <c r="L161" s="49"/>
    </row>
    <row r="162" spans="3:12" x14ac:dyDescent="0.2">
      <c r="C162" s="49"/>
      <c r="D162" s="49"/>
      <c r="E162" s="49"/>
      <c r="F162" s="49"/>
      <c r="H162" s="49"/>
      <c r="I162" s="49"/>
      <c r="J162" s="49"/>
      <c r="K162" s="49"/>
      <c r="L162" s="49"/>
    </row>
    <row r="163" spans="3:12" x14ac:dyDescent="0.2">
      <c r="C163" s="49"/>
      <c r="D163" s="49"/>
      <c r="E163" s="49"/>
      <c r="F163" s="49"/>
      <c r="H163" s="49"/>
      <c r="I163" s="49"/>
      <c r="J163" s="49"/>
      <c r="K163" s="49"/>
      <c r="L163" s="49"/>
    </row>
    <row r="164" spans="3:12" x14ac:dyDescent="0.2">
      <c r="C164" s="49"/>
      <c r="D164" s="49"/>
      <c r="E164" s="49"/>
      <c r="F164" s="49"/>
      <c r="H164" s="49"/>
      <c r="I164" s="49"/>
      <c r="J164" s="49"/>
      <c r="K164" s="49"/>
      <c r="L164" s="49"/>
    </row>
    <row r="165" spans="3:12" x14ac:dyDescent="0.2">
      <c r="C165" s="49"/>
      <c r="D165" s="49"/>
      <c r="E165" s="49"/>
      <c r="F165" s="49"/>
      <c r="H165" s="49"/>
      <c r="I165" s="49"/>
      <c r="J165" s="49"/>
      <c r="K165" s="49"/>
      <c r="L165" s="49"/>
    </row>
    <row r="166" spans="3:12" x14ac:dyDescent="0.2">
      <c r="C166" s="49"/>
      <c r="D166" s="49"/>
      <c r="E166" s="49"/>
      <c r="F166" s="49"/>
      <c r="H166" s="49"/>
      <c r="I166" s="49"/>
      <c r="J166" s="49"/>
      <c r="K166" s="49"/>
      <c r="L166" s="49"/>
    </row>
    <row r="167" spans="3:12" x14ac:dyDescent="0.2">
      <c r="C167" s="49"/>
      <c r="D167" s="49"/>
      <c r="E167" s="49"/>
      <c r="F167" s="49"/>
      <c r="H167" s="49"/>
      <c r="I167" s="49"/>
      <c r="J167" s="49"/>
      <c r="K167" s="49"/>
      <c r="L167" s="49"/>
    </row>
    <row r="168" spans="3:12" x14ac:dyDescent="0.2">
      <c r="C168" s="49"/>
      <c r="D168" s="49"/>
      <c r="E168" s="49"/>
      <c r="F168" s="49"/>
      <c r="H168" s="49"/>
      <c r="I168" s="49"/>
      <c r="J168" s="49"/>
      <c r="K168" s="49"/>
      <c r="L168" s="49"/>
    </row>
    <row r="169" spans="3:12" x14ac:dyDescent="0.2">
      <c r="C169" s="49"/>
      <c r="D169" s="49"/>
      <c r="E169" s="49"/>
      <c r="F169" s="49"/>
      <c r="H169" s="49"/>
      <c r="I169" s="49"/>
      <c r="J169" s="49"/>
      <c r="K169" s="49"/>
      <c r="L169" s="49"/>
    </row>
    <row r="170" spans="3:12" x14ac:dyDescent="0.2">
      <c r="C170" s="49"/>
      <c r="D170" s="49"/>
      <c r="E170" s="49"/>
      <c r="F170" s="49"/>
      <c r="H170" s="49"/>
      <c r="I170" s="49"/>
      <c r="J170" s="49"/>
      <c r="K170" s="49"/>
      <c r="L170" s="49"/>
    </row>
    <row r="171" spans="3:12" x14ac:dyDescent="0.2">
      <c r="C171" s="49"/>
      <c r="D171" s="49"/>
      <c r="E171" s="49"/>
      <c r="F171" s="49"/>
      <c r="H171" s="49"/>
      <c r="I171" s="49"/>
      <c r="J171" s="49"/>
      <c r="K171" s="49"/>
      <c r="L171" s="49"/>
    </row>
    <row r="172" spans="3:12" x14ac:dyDescent="0.2">
      <c r="C172" s="49"/>
      <c r="D172" s="49"/>
      <c r="E172" s="49"/>
      <c r="F172" s="49"/>
      <c r="H172" s="49"/>
      <c r="I172" s="49"/>
      <c r="J172" s="49"/>
      <c r="K172" s="49"/>
      <c r="L172" s="49"/>
    </row>
    <row r="173" spans="3:12" x14ac:dyDescent="0.2">
      <c r="C173" s="49"/>
      <c r="D173" s="49"/>
      <c r="E173" s="49"/>
      <c r="F173" s="49"/>
      <c r="H173" s="49"/>
      <c r="I173" s="49"/>
      <c r="J173" s="49"/>
      <c r="K173" s="49"/>
      <c r="L173" s="49"/>
    </row>
    <row r="174" spans="3:12" x14ac:dyDescent="0.2">
      <c r="C174" s="49"/>
      <c r="D174" s="49"/>
      <c r="E174" s="49"/>
      <c r="F174" s="49"/>
      <c r="H174" s="49"/>
      <c r="I174" s="49"/>
      <c r="J174" s="49"/>
      <c r="K174" s="49"/>
      <c r="L174" s="49"/>
    </row>
    <row r="175" spans="3:12" x14ac:dyDescent="0.2">
      <c r="C175" s="49"/>
      <c r="D175" s="49"/>
      <c r="E175" s="49"/>
      <c r="F175" s="49"/>
      <c r="H175" s="49"/>
      <c r="I175" s="49"/>
      <c r="J175" s="49"/>
      <c r="K175" s="49"/>
      <c r="L175" s="49"/>
    </row>
    <row r="176" spans="3:12" x14ac:dyDescent="0.2">
      <c r="C176" s="49"/>
      <c r="D176" s="49"/>
      <c r="E176" s="49"/>
      <c r="F176" s="49"/>
      <c r="H176" s="49"/>
      <c r="I176" s="49"/>
      <c r="J176" s="49"/>
      <c r="K176" s="49"/>
      <c r="L176" s="49"/>
    </row>
    <row r="177" spans="3:12" x14ac:dyDescent="0.2">
      <c r="C177" s="49"/>
      <c r="D177" s="49"/>
      <c r="E177" s="49"/>
      <c r="F177" s="49"/>
      <c r="H177" s="49"/>
      <c r="I177" s="49"/>
      <c r="J177" s="49"/>
      <c r="K177" s="49"/>
      <c r="L177" s="49"/>
    </row>
    <row r="178" spans="3:12" x14ac:dyDescent="0.2">
      <c r="C178" s="49"/>
      <c r="D178" s="49"/>
      <c r="E178" s="49"/>
      <c r="F178" s="49"/>
      <c r="H178" s="49"/>
      <c r="I178" s="49"/>
      <c r="J178" s="49"/>
      <c r="K178" s="49"/>
      <c r="L178" s="49"/>
    </row>
    <row r="179" spans="3:12" x14ac:dyDescent="0.2">
      <c r="C179" s="49"/>
      <c r="D179" s="49"/>
      <c r="E179" s="49"/>
      <c r="F179" s="49"/>
      <c r="H179" s="49"/>
      <c r="I179" s="49"/>
      <c r="J179" s="49"/>
      <c r="K179" s="49"/>
      <c r="L179" s="49"/>
    </row>
    <row r="180" spans="3:12" x14ac:dyDescent="0.2">
      <c r="C180" s="49"/>
      <c r="D180" s="49"/>
      <c r="E180" s="49"/>
      <c r="F180" s="49"/>
      <c r="H180" s="49"/>
      <c r="I180" s="49"/>
      <c r="J180" s="49"/>
      <c r="K180" s="49"/>
      <c r="L180" s="49"/>
    </row>
    <row r="181" spans="3:12" x14ac:dyDescent="0.2">
      <c r="C181" s="49"/>
      <c r="D181" s="49"/>
      <c r="E181" s="49"/>
      <c r="F181" s="49"/>
      <c r="H181" s="49"/>
      <c r="I181" s="49"/>
      <c r="J181" s="49"/>
      <c r="K181" s="49"/>
      <c r="L181" s="49"/>
    </row>
    <row r="182" spans="3:12" x14ac:dyDescent="0.2">
      <c r="C182" s="49"/>
      <c r="D182" s="49"/>
      <c r="E182" s="49"/>
      <c r="F182" s="49"/>
      <c r="H182" s="49"/>
      <c r="I182" s="49"/>
      <c r="J182" s="49"/>
      <c r="K182" s="49"/>
      <c r="L182" s="49"/>
    </row>
    <row r="183" spans="3:12" x14ac:dyDescent="0.2">
      <c r="C183" s="49"/>
      <c r="D183" s="49"/>
      <c r="E183" s="49"/>
      <c r="F183" s="49"/>
      <c r="H183" s="49"/>
      <c r="I183" s="49"/>
      <c r="J183" s="49"/>
      <c r="K183" s="49"/>
      <c r="L183" s="49"/>
    </row>
    <row r="184" spans="3:12" x14ac:dyDescent="0.2">
      <c r="C184" s="49"/>
      <c r="D184" s="49"/>
      <c r="E184" s="49"/>
      <c r="F184" s="49"/>
      <c r="H184" s="49"/>
      <c r="I184" s="49"/>
      <c r="J184" s="49"/>
      <c r="K184" s="49"/>
      <c r="L184" s="49"/>
    </row>
    <row r="185" spans="3:12" x14ac:dyDescent="0.2">
      <c r="C185" s="49"/>
      <c r="D185" s="49"/>
      <c r="E185" s="49"/>
      <c r="F185" s="49"/>
      <c r="H185" s="49"/>
      <c r="I185" s="49"/>
      <c r="J185" s="49"/>
      <c r="K185" s="49"/>
      <c r="L185" s="49"/>
    </row>
    <row r="186" spans="3:12" x14ac:dyDescent="0.2">
      <c r="C186" s="49"/>
      <c r="D186" s="49"/>
      <c r="E186" s="49"/>
      <c r="F186" s="49"/>
      <c r="H186" s="49"/>
      <c r="I186" s="49"/>
      <c r="J186" s="49"/>
      <c r="K186" s="49"/>
      <c r="L186" s="49"/>
    </row>
    <row r="187" spans="3:12" x14ac:dyDescent="0.2">
      <c r="C187" s="49"/>
      <c r="D187" s="49"/>
      <c r="E187" s="49"/>
      <c r="F187" s="49"/>
      <c r="H187" s="49"/>
      <c r="I187" s="49"/>
      <c r="J187" s="49"/>
      <c r="K187" s="49"/>
      <c r="L187" s="49"/>
    </row>
    <row r="188" spans="3:12" x14ac:dyDescent="0.2">
      <c r="C188" s="49"/>
      <c r="D188" s="49"/>
      <c r="E188" s="49"/>
      <c r="F188" s="49"/>
      <c r="H188" s="49"/>
      <c r="I188" s="49"/>
      <c r="J188" s="49"/>
      <c r="K188" s="49"/>
      <c r="L188" s="49"/>
    </row>
    <row r="189" spans="3:12" x14ac:dyDescent="0.2">
      <c r="C189" s="49"/>
      <c r="D189" s="49"/>
      <c r="E189" s="49"/>
      <c r="F189" s="49"/>
      <c r="H189" s="49"/>
      <c r="I189" s="49"/>
      <c r="J189" s="49"/>
      <c r="K189" s="49"/>
      <c r="L189" s="49"/>
    </row>
    <row r="190" spans="3:12" x14ac:dyDescent="0.2">
      <c r="C190" s="49"/>
      <c r="D190" s="49"/>
      <c r="E190" s="49"/>
      <c r="F190" s="49"/>
      <c r="H190" s="49"/>
      <c r="I190" s="49"/>
      <c r="J190" s="49"/>
      <c r="K190" s="49"/>
      <c r="L190" s="49"/>
    </row>
    <row r="191" spans="3:12" x14ac:dyDescent="0.2">
      <c r="C191" s="49"/>
      <c r="D191" s="49"/>
      <c r="E191" s="49"/>
      <c r="F191" s="49"/>
      <c r="H191" s="49"/>
      <c r="I191" s="49"/>
      <c r="J191" s="49"/>
      <c r="K191" s="49"/>
      <c r="L191" s="49"/>
    </row>
    <row r="192" spans="3:12" x14ac:dyDescent="0.2">
      <c r="C192" s="49"/>
      <c r="D192" s="49"/>
      <c r="E192" s="49"/>
      <c r="F192" s="49"/>
      <c r="H192" s="49"/>
      <c r="I192" s="49"/>
      <c r="J192" s="49"/>
      <c r="K192" s="49"/>
      <c r="L192" s="49"/>
    </row>
    <row r="193" spans="3:12" x14ac:dyDescent="0.2">
      <c r="C193" s="49"/>
      <c r="D193" s="49"/>
      <c r="E193" s="49"/>
      <c r="F193" s="49"/>
      <c r="H193" s="49"/>
      <c r="I193" s="49"/>
      <c r="J193" s="49"/>
      <c r="K193" s="49"/>
      <c r="L193" s="49"/>
    </row>
    <row r="194" spans="3:12" x14ac:dyDescent="0.2">
      <c r="C194" s="49"/>
      <c r="D194" s="49"/>
      <c r="E194" s="49"/>
      <c r="F194" s="49"/>
      <c r="H194" s="49"/>
      <c r="I194" s="49"/>
      <c r="J194" s="49"/>
      <c r="K194" s="49"/>
      <c r="L194" s="49"/>
    </row>
    <row r="195" spans="3:12" x14ac:dyDescent="0.2">
      <c r="C195" s="49"/>
      <c r="D195" s="49"/>
      <c r="E195" s="49"/>
      <c r="F195" s="49"/>
      <c r="H195" s="49"/>
      <c r="I195" s="49"/>
      <c r="J195" s="49"/>
      <c r="K195" s="49"/>
      <c r="L195" s="49"/>
    </row>
    <row r="196" spans="3:12" x14ac:dyDescent="0.2">
      <c r="C196" s="49"/>
      <c r="D196" s="49"/>
      <c r="E196" s="49"/>
      <c r="F196" s="49"/>
      <c r="H196" s="49"/>
      <c r="I196" s="49"/>
      <c r="J196" s="49"/>
      <c r="K196" s="49"/>
      <c r="L196" s="49"/>
    </row>
    <row r="197" spans="3:12" x14ac:dyDescent="0.2">
      <c r="C197" s="49"/>
      <c r="D197" s="49"/>
      <c r="E197" s="49"/>
      <c r="F197" s="49"/>
      <c r="H197" s="49"/>
      <c r="I197" s="49"/>
      <c r="J197" s="49"/>
      <c r="K197" s="49"/>
      <c r="L197" s="49"/>
    </row>
    <row r="198" spans="3:12" x14ac:dyDescent="0.2">
      <c r="C198" s="49"/>
      <c r="D198" s="49"/>
      <c r="E198" s="49"/>
      <c r="F198" s="49"/>
      <c r="H198" s="49"/>
      <c r="I198" s="49"/>
      <c r="J198" s="49"/>
      <c r="K198" s="49"/>
      <c r="L198" s="49"/>
    </row>
    <row r="199" spans="3:12" x14ac:dyDescent="0.2">
      <c r="C199" s="49"/>
      <c r="D199" s="49"/>
      <c r="E199" s="49"/>
      <c r="F199" s="49"/>
      <c r="H199" s="49"/>
      <c r="I199" s="49"/>
      <c r="J199" s="49"/>
      <c r="K199" s="49"/>
      <c r="L199" s="49"/>
    </row>
    <row r="200" spans="3:12" x14ac:dyDescent="0.2">
      <c r="C200" s="49"/>
      <c r="D200" s="49"/>
      <c r="E200" s="49"/>
      <c r="F200" s="49"/>
      <c r="H200" s="49"/>
      <c r="I200" s="49"/>
      <c r="J200" s="49"/>
      <c r="K200" s="49"/>
      <c r="L200" s="49"/>
    </row>
    <row r="201" spans="3:12" x14ac:dyDescent="0.2">
      <c r="C201" s="49"/>
      <c r="D201" s="49"/>
      <c r="E201" s="49"/>
      <c r="F201" s="49"/>
      <c r="H201" s="49"/>
      <c r="I201" s="49"/>
      <c r="J201" s="49"/>
      <c r="K201" s="49"/>
      <c r="L201" s="49"/>
    </row>
    <row r="202" spans="3:12" x14ac:dyDescent="0.2">
      <c r="C202" s="49"/>
      <c r="D202" s="49"/>
      <c r="E202" s="49"/>
      <c r="F202" s="49"/>
      <c r="H202" s="49"/>
      <c r="I202" s="49"/>
      <c r="J202" s="49"/>
      <c r="K202" s="49"/>
      <c r="L202" s="49"/>
    </row>
    <row r="203" spans="3:12" x14ac:dyDescent="0.2">
      <c r="C203" s="49"/>
      <c r="D203" s="49"/>
      <c r="E203" s="49"/>
      <c r="F203" s="49"/>
      <c r="H203" s="49"/>
      <c r="I203" s="49"/>
      <c r="J203" s="49"/>
      <c r="K203" s="49"/>
      <c r="L203" s="49"/>
    </row>
    <row r="204" spans="3:12" x14ac:dyDescent="0.2">
      <c r="C204" s="49"/>
      <c r="D204" s="49"/>
      <c r="E204" s="49"/>
      <c r="F204" s="49"/>
      <c r="H204" s="49"/>
      <c r="I204" s="49"/>
      <c r="J204" s="49"/>
      <c r="K204" s="49"/>
      <c r="L204" s="49"/>
    </row>
    <row r="205" spans="3:12" x14ac:dyDescent="0.2">
      <c r="C205" s="49"/>
      <c r="D205" s="49"/>
      <c r="E205" s="49"/>
      <c r="F205" s="49"/>
      <c r="H205" s="49"/>
      <c r="I205" s="49"/>
      <c r="J205" s="49"/>
      <c r="K205" s="49"/>
      <c r="L205" s="49"/>
    </row>
    <row r="206" spans="3:12" x14ac:dyDescent="0.2">
      <c r="C206" s="49"/>
      <c r="D206" s="49"/>
      <c r="E206" s="49"/>
      <c r="F206" s="49"/>
      <c r="H206" s="49"/>
      <c r="I206" s="49"/>
      <c r="J206" s="49"/>
      <c r="K206" s="49"/>
      <c r="L206" s="49"/>
    </row>
    <row r="207" spans="3:12" x14ac:dyDescent="0.2">
      <c r="C207" s="49"/>
      <c r="D207" s="49"/>
      <c r="E207" s="49"/>
      <c r="F207" s="49"/>
      <c r="H207" s="49"/>
      <c r="I207" s="49"/>
      <c r="J207" s="49"/>
      <c r="K207" s="49"/>
      <c r="L207" s="49"/>
    </row>
    <row r="208" spans="3:12" x14ac:dyDescent="0.2">
      <c r="C208" s="49"/>
      <c r="D208" s="49"/>
      <c r="E208" s="49"/>
      <c r="F208" s="49"/>
      <c r="H208" s="49"/>
      <c r="I208" s="49"/>
      <c r="J208" s="49"/>
      <c r="K208" s="49"/>
      <c r="L208" s="49"/>
    </row>
    <row r="209" spans="3:12" x14ac:dyDescent="0.2">
      <c r="C209" s="49"/>
      <c r="D209" s="49"/>
      <c r="E209" s="49"/>
      <c r="F209" s="49"/>
      <c r="H209" s="49"/>
      <c r="I209" s="49"/>
      <c r="J209" s="49"/>
      <c r="K209" s="49"/>
      <c r="L209" s="49"/>
    </row>
    <row r="210" spans="3:12" x14ac:dyDescent="0.2">
      <c r="C210" s="49"/>
      <c r="D210" s="49"/>
      <c r="E210" s="49"/>
      <c r="F210" s="49"/>
      <c r="H210" s="49"/>
      <c r="I210" s="49"/>
      <c r="J210" s="49"/>
      <c r="K210" s="49"/>
      <c r="L210" s="49"/>
    </row>
    <row r="211" spans="3:12" x14ac:dyDescent="0.2">
      <c r="C211" s="49"/>
      <c r="D211" s="49"/>
      <c r="E211" s="49"/>
      <c r="F211" s="49"/>
      <c r="H211" s="49"/>
      <c r="I211" s="49"/>
      <c r="J211" s="49"/>
      <c r="K211" s="49"/>
      <c r="L211" s="49"/>
    </row>
    <row r="212" spans="3:12" x14ac:dyDescent="0.2">
      <c r="C212" s="49"/>
      <c r="D212" s="49"/>
      <c r="E212" s="49"/>
      <c r="F212" s="49"/>
      <c r="H212" s="49"/>
      <c r="I212" s="49"/>
      <c r="J212" s="49"/>
      <c r="K212" s="49"/>
      <c r="L212" s="49"/>
    </row>
    <row r="213" spans="3:12" x14ac:dyDescent="0.2">
      <c r="C213" s="49"/>
      <c r="D213" s="49"/>
      <c r="E213" s="49"/>
      <c r="F213" s="49"/>
      <c r="H213" s="49"/>
      <c r="I213" s="49"/>
      <c r="J213" s="49"/>
      <c r="K213" s="49"/>
      <c r="L213" s="49"/>
    </row>
    <row r="214" spans="3:12" x14ac:dyDescent="0.2">
      <c r="C214" s="49"/>
      <c r="D214" s="49"/>
      <c r="E214" s="49"/>
      <c r="F214" s="49"/>
      <c r="H214" s="49"/>
      <c r="I214" s="49"/>
      <c r="J214" s="49"/>
      <c r="K214" s="49"/>
      <c r="L214" s="49"/>
    </row>
    <row r="215" spans="3:12" x14ac:dyDescent="0.2">
      <c r="C215" s="49"/>
      <c r="D215" s="49"/>
      <c r="E215" s="49"/>
      <c r="F215" s="49"/>
      <c r="H215" s="49"/>
      <c r="I215" s="49"/>
      <c r="J215" s="49"/>
      <c r="K215" s="49"/>
      <c r="L215" s="49"/>
    </row>
    <row r="216" spans="3:12" x14ac:dyDescent="0.2">
      <c r="C216" s="49"/>
      <c r="D216" s="49"/>
      <c r="E216" s="49"/>
      <c r="F216" s="49"/>
      <c r="H216" s="49"/>
      <c r="I216" s="49"/>
      <c r="J216" s="49"/>
      <c r="K216" s="49"/>
      <c r="L216" s="49"/>
    </row>
    <row r="217" spans="3:12" x14ac:dyDescent="0.2">
      <c r="C217" s="49"/>
      <c r="D217" s="49"/>
      <c r="E217" s="49"/>
      <c r="F217" s="49"/>
      <c r="H217" s="49"/>
      <c r="I217" s="49"/>
      <c r="J217" s="49"/>
      <c r="K217" s="49"/>
      <c r="L217" s="49"/>
    </row>
    <row r="218" spans="3:12" x14ac:dyDescent="0.2">
      <c r="C218" s="49"/>
      <c r="D218" s="49"/>
      <c r="E218" s="49"/>
      <c r="F218" s="49"/>
      <c r="H218" s="49"/>
      <c r="I218" s="49"/>
      <c r="J218" s="49"/>
      <c r="K218" s="49"/>
      <c r="L218" s="49"/>
    </row>
    <row r="219" spans="3:12" x14ac:dyDescent="0.2">
      <c r="C219" s="49"/>
      <c r="D219" s="49"/>
      <c r="E219" s="49"/>
      <c r="F219" s="49"/>
      <c r="H219" s="49"/>
      <c r="I219" s="49"/>
      <c r="J219" s="49"/>
      <c r="K219" s="49"/>
      <c r="L219" s="49"/>
    </row>
    <row r="220" spans="3:12" x14ac:dyDescent="0.2">
      <c r="C220" s="49"/>
      <c r="D220" s="49"/>
      <c r="E220" s="49"/>
      <c r="F220" s="49"/>
      <c r="H220" s="49"/>
      <c r="I220" s="49"/>
      <c r="J220" s="49"/>
      <c r="K220" s="49"/>
      <c r="L220" s="49"/>
    </row>
    <row r="221" spans="3:12" x14ac:dyDescent="0.2">
      <c r="C221" s="49"/>
      <c r="D221" s="49"/>
      <c r="E221" s="49"/>
      <c r="F221" s="49"/>
      <c r="H221" s="49"/>
      <c r="I221" s="49"/>
      <c r="J221" s="49"/>
      <c r="K221" s="49"/>
      <c r="L221" s="49"/>
    </row>
    <row r="222" spans="3:12" x14ac:dyDescent="0.2">
      <c r="C222" s="49"/>
      <c r="D222" s="49"/>
      <c r="E222" s="49"/>
      <c r="F222" s="49"/>
      <c r="H222" s="49"/>
      <c r="I222" s="49"/>
      <c r="J222" s="49"/>
      <c r="K222" s="49"/>
      <c r="L222" s="49"/>
    </row>
    <row r="223" spans="3:12" x14ac:dyDescent="0.2">
      <c r="C223" s="49"/>
      <c r="D223" s="49"/>
      <c r="E223" s="49"/>
      <c r="F223" s="49"/>
      <c r="H223" s="49"/>
      <c r="I223" s="49"/>
      <c r="J223" s="49"/>
      <c r="K223" s="49"/>
      <c r="L223" s="49"/>
    </row>
    <row r="224" spans="3:12" x14ac:dyDescent="0.2">
      <c r="C224" s="49"/>
      <c r="D224" s="49"/>
      <c r="E224" s="49"/>
      <c r="F224" s="49"/>
      <c r="H224" s="49"/>
      <c r="I224" s="49"/>
      <c r="J224" s="49"/>
      <c r="K224" s="49"/>
      <c r="L224" s="49"/>
    </row>
    <row r="225" spans="3:12" x14ac:dyDescent="0.2">
      <c r="C225" s="49"/>
      <c r="D225" s="49"/>
      <c r="E225" s="49"/>
      <c r="F225" s="49"/>
      <c r="H225" s="49"/>
      <c r="I225" s="49"/>
      <c r="J225" s="49"/>
      <c r="K225" s="49"/>
      <c r="L225" s="49"/>
    </row>
    <row r="226" spans="3:12" x14ac:dyDescent="0.2">
      <c r="C226" s="49"/>
      <c r="D226" s="49"/>
      <c r="E226" s="49"/>
      <c r="F226" s="49"/>
      <c r="H226" s="49"/>
      <c r="I226" s="49"/>
      <c r="J226" s="49"/>
      <c r="K226" s="49"/>
      <c r="L226" s="49"/>
    </row>
    <row r="227" spans="3:12" x14ac:dyDescent="0.2">
      <c r="C227" s="49"/>
      <c r="D227" s="49"/>
      <c r="E227" s="49"/>
      <c r="F227" s="49"/>
      <c r="H227" s="49"/>
      <c r="I227" s="49"/>
      <c r="J227" s="49"/>
      <c r="K227" s="49"/>
      <c r="L227" s="49"/>
    </row>
    <row r="228" spans="3:12" x14ac:dyDescent="0.2">
      <c r="C228" s="49"/>
      <c r="D228" s="49"/>
      <c r="E228" s="49"/>
      <c r="F228" s="49"/>
      <c r="H228" s="49"/>
      <c r="I228" s="49"/>
      <c r="J228" s="49"/>
      <c r="K228" s="49"/>
      <c r="L228" s="49"/>
    </row>
    <row r="229" spans="3:12" x14ac:dyDescent="0.2">
      <c r="C229" s="49"/>
      <c r="D229" s="49"/>
      <c r="E229" s="49"/>
      <c r="F229" s="49"/>
      <c r="H229" s="49"/>
      <c r="I229" s="49"/>
      <c r="J229" s="49"/>
      <c r="K229" s="49"/>
      <c r="L229" s="49"/>
    </row>
    <row r="230" spans="3:12" x14ac:dyDescent="0.2">
      <c r="C230" s="49"/>
      <c r="D230" s="49"/>
      <c r="E230" s="49"/>
      <c r="F230" s="49"/>
      <c r="H230" s="49"/>
      <c r="I230" s="49"/>
      <c r="J230" s="49"/>
      <c r="K230" s="49"/>
      <c r="L230" s="49"/>
    </row>
    <row r="231" spans="3:12" x14ac:dyDescent="0.2">
      <c r="C231" s="49"/>
      <c r="D231" s="49"/>
      <c r="E231" s="49"/>
      <c r="F231" s="49"/>
      <c r="H231" s="49"/>
      <c r="I231" s="49"/>
      <c r="J231" s="49"/>
      <c r="K231" s="49"/>
      <c r="L231" s="49"/>
    </row>
    <row r="232" spans="3:12" x14ac:dyDescent="0.2">
      <c r="C232" s="49"/>
      <c r="D232" s="49"/>
      <c r="E232" s="49"/>
      <c r="F232" s="49"/>
      <c r="H232" s="49"/>
      <c r="I232" s="49"/>
      <c r="J232" s="49"/>
      <c r="K232" s="49"/>
      <c r="L232" s="49"/>
    </row>
    <row r="233" spans="3:12" x14ac:dyDescent="0.2">
      <c r="C233" s="49"/>
      <c r="D233" s="49"/>
      <c r="E233" s="49"/>
      <c r="F233" s="49"/>
      <c r="H233" s="49"/>
      <c r="I233" s="49"/>
      <c r="J233" s="49"/>
      <c r="K233" s="49"/>
      <c r="L233" s="49"/>
    </row>
    <row r="234" spans="3:12" x14ac:dyDescent="0.2">
      <c r="C234" s="49"/>
      <c r="D234" s="49"/>
      <c r="E234" s="49"/>
      <c r="F234" s="49"/>
      <c r="H234" s="49"/>
      <c r="I234" s="49"/>
      <c r="J234" s="49"/>
      <c r="K234" s="49"/>
      <c r="L234" s="49"/>
    </row>
    <row r="235" spans="3:12" x14ac:dyDescent="0.2">
      <c r="C235" s="49"/>
      <c r="D235" s="49"/>
      <c r="E235" s="49"/>
      <c r="F235" s="49"/>
      <c r="H235" s="49"/>
      <c r="I235" s="49"/>
      <c r="J235" s="49"/>
      <c r="K235" s="49"/>
      <c r="L235" s="49"/>
    </row>
    <row r="236" spans="3:12" x14ac:dyDescent="0.2">
      <c r="C236" s="49"/>
      <c r="D236" s="49"/>
      <c r="E236" s="49"/>
      <c r="F236" s="49"/>
      <c r="H236" s="49"/>
      <c r="I236" s="49"/>
      <c r="J236" s="49"/>
      <c r="K236" s="49"/>
      <c r="L236" s="49"/>
    </row>
    <row r="237" spans="3:12" x14ac:dyDescent="0.2">
      <c r="C237" s="49"/>
      <c r="D237" s="49"/>
      <c r="E237" s="49"/>
      <c r="F237" s="49"/>
      <c r="H237" s="49"/>
      <c r="I237" s="49"/>
      <c r="J237" s="49"/>
      <c r="K237" s="49"/>
      <c r="L237" s="49"/>
    </row>
    <row r="238" spans="3:12" x14ac:dyDescent="0.2">
      <c r="C238" s="49"/>
      <c r="D238" s="49"/>
      <c r="E238" s="49"/>
      <c r="F238" s="49"/>
      <c r="H238" s="49"/>
      <c r="I238" s="49"/>
      <c r="J238" s="49"/>
      <c r="K238" s="49"/>
      <c r="L238" s="49"/>
    </row>
    <row r="239" spans="3:12" x14ac:dyDescent="0.2">
      <c r="C239" s="49"/>
      <c r="D239" s="49"/>
      <c r="E239" s="49"/>
      <c r="F239" s="49"/>
      <c r="H239" s="49"/>
      <c r="I239" s="49"/>
      <c r="J239" s="49"/>
      <c r="K239" s="49"/>
      <c r="L239" s="49"/>
    </row>
    <row r="240" spans="3:12" x14ac:dyDescent="0.2">
      <c r="C240" s="49"/>
      <c r="D240" s="49"/>
      <c r="E240" s="49"/>
      <c r="F240" s="49"/>
      <c r="H240" s="49"/>
      <c r="I240" s="49"/>
      <c r="J240" s="49"/>
      <c r="K240" s="49"/>
      <c r="L240" s="49"/>
    </row>
    <row r="241" spans="3:12" x14ac:dyDescent="0.2">
      <c r="C241" s="49"/>
      <c r="D241" s="49"/>
      <c r="E241" s="49"/>
      <c r="F241" s="49"/>
      <c r="H241" s="49"/>
      <c r="I241" s="49"/>
      <c r="J241" s="49"/>
      <c r="K241" s="49"/>
      <c r="L241" s="49"/>
    </row>
    <row r="242" spans="3:12" x14ac:dyDescent="0.2">
      <c r="C242" s="49"/>
      <c r="D242" s="49"/>
      <c r="E242" s="49"/>
      <c r="F242" s="49"/>
      <c r="H242" s="49"/>
      <c r="I242" s="49"/>
      <c r="J242" s="49"/>
      <c r="K242" s="49"/>
      <c r="L242" s="49"/>
    </row>
    <row r="243" spans="3:12" x14ac:dyDescent="0.2">
      <c r="C243" s="49"/>
      <c r="D243" s="49"/>
      <c r="E243" s="49"/>
      <c r="F243" s="49"/>
      <c r="H243" s="49"/>
      <c r="I243" s="49"/>
      <c r="J243" s="49"/>
      <c r="K243" s="49"/>
      <c r="L243" s="49"/>
    </row>
    <row r="244" spans="3:12" x14ac:dyDescent="0.2">
      <c r="C244" s="49"/>
      <c r="D244" s="49"/>
      <c r="E244" s="49"/>
      <c r="F244" s="49"/>
      <c r="H244" s="49"/>
      <c r="I244" s="49"/>
      <c r="J244" s="49"/>
      <c r="K244" s="49"/>
      <c r="L244" s="49"/>
    </row>
    <row r="245" spans="3:12" x14ac:dyDescent="0.2">
      <c r="C245" s="49"/>
      <c r="D245" s="49"/>
      <c r="E245" s="49"/>
      <c r="F245" s="49"/>
      <c r="H245" s="49"/>
      <c r="I245" s="49"/>
      <c r="J245" s="49"/>
      <c r="K245" s="49"/>
      <c r="L245" s="49"/>
    </row>
    <row r="246" spans="3:12" x14ac:dyDescent="0.2">
      <c r="C246" s="49"/>
      <c r="D246" s="49"/>
      <c r="E246" s="49"/>
      <c r="F246" s="49"/>
      <c r="H246" s="49"/>
      <c r="I246" s="49"/>
      <c r="J246" s="49"/>
      <c r="K246" s="49"/>
      <c r="L246" s="49"/>
    </row>
    <row r="247" spans="3:12" x14ac:dyDescent="0.2">
      <c r="C247" s="49"/>
      <c r="D247" s="49"/>
      <c r="E247" s="49"/>
      <c r="F247" s="49"/>
      <c r="H247" s="49"/>
      <c r="I247" s="49"/>
      <c r="J247" s="49"/>
      <c r="K247" s="49"/>
      <c r="L247" s="49"/>
    </row>
    <row r="248" spans="3:12" x14ac:dyDescent="0.2">
      <c r="C248" s="49"/>
      <c r="D248" s="49"/>
      <c r="E248" s="49"/>
      <c r="F248" s="49"/>
      <c r="H248" s="49"/>
      <c r="I248" s="49"/>
      <c r="J248" s="49"/>
      <c r="K248" s="49"/>
      <c r="L248" s="49"/>
    </row>
    <row r="249" spans="3:12" x14ac:dyDescent="0.2">
      <c r="C249" s="49"/>
      <c r="D249" s="49"/>
      <c r="E249" s="49"/>
      <c r="F249" s="49"/>
      <c r="H249" s="49"/>
      <c r="I249" s="49"/>
      <c r="J249" s="49"/>
      <c r="K249" s="49"/>
      <c r="L249" s="49"/>
    </row>
    <row r="250" spans="3:12" x14ac:dyDescent="0.2">
      <c r="C250" s="49"/>
      <c r="D250" s="49"/>
      <c r="E250" s="49"/>
      <c r="F250" s="49"/>
      <c r="H250" s="49"/>
      <c r="I250" s="49"/>
      <c r="J250" s="49"/>
      <c r="K250" s="49"/>
      <c r="L250" s="49"/>
    </row>
    <row r="251" spans="3:12" x14ac:dyDescent="0.2">
      <c r="C251" s="49"/>
      <c r="D251" s="49"/>
      <c r="E251" s="49"/>
      <c r="F251" s="49"/>
      <c r="H251" s="49"/>
      <c r="I251" s="49"/>
      <c r="J251" s="49"/>
      <c r="K251" s="49"/>
      <c r="L251" s="49"/>
    </row>
    <row r="252" spans="3:12" x14ac:dyDescent="0.2">
      <c r="C252" s="49"/>
      <c r="D252" s="49"/>
      <c r="E252" s="49"/>
      <c r="F252" s="49"/>
      <c r="H252" s="49"/>
      <c r="I252" s="49"/>
      <c r="J252" s="49"/>
      <c r="K252" s="49"/>
      <c r="L252" s="49"/>
    </row>
    <row r="253" spans="3:12" x14ac:dyDescent="0.2">
      <c r="C253" s="49"/>
      <c r="D253" s="49"/>
      <c r="E253" s="49"/>
      <c r="F253" s="49"/>
      <c r="H253" s="49"/>
      <c r="I253" s="49"/>
      <c r="J253" s="49"/>
      <c r="K253" s="49"/>
      <c r="L253" s="49"/>
    </row>
    <row r="254" spans="3:12" x14ac:dyDescent="0.2">
      <c r="C254" s="49"/>
      <c r="D254" s="49"/>
      <c r="E254" s="49"/>
      <c r="F254" s="49"/>
      <c r="H254" s="49"/>
      <c r="I254" s="49"/>
      <c r="J254" s="49"/>
      <c r="K254" s="49"/>
      <c r="L254" s="49"/>
    </row>
    <row r="255" spans="3:12" x14ac:dyDescent="0.2">
      <c r="C255" s="49"/>
      <c r="D255" s="49"/>
      <c r="E255" s="49"/>
      <c r="F255" s="49"/>
      <c r="H255" s="49"/>
      <c r="I255" s="49"/>
      <c r="J255" s="49"/>
      <c r="K255" s="49"/>
      <c r="L255" s="49"/>
    </row>
    <row r="256" spans="3:12" x14ac:dyDescent="0.2">
      <c r="C256" s="49"/>
      <c r="D256" s="49"/>
      <c r="E256" s="49"/>
      <c r="F256" s="49"/>
      <c r="H256" s="49"/>
      <c r="I256" s="49"/>
      <c r="J256" s="49"/>
      <c r="K256" s="49"/>
      <c r="L256" s="49"/>
    </row>
    <row r="257" spans="3:12" x14ac:dyDescent="0.2">
      <c r="C257" s="49"/>
      <c r="D257" s="49"/>
      <c r="E257" s="49"/>
      <c r="F257" s="49"/>
      <c r="H257" s="49"/>
      <c r="I257" s="49"/>
      <c r="J257" s="49"/>
      <c r="K257" s="49"/>
      <c r="L257" s="49"/>
    </row>
    <row r="258" spans="3:12" x14ac:dyDescent="0.2">
      <c r="C258" s="49"/>
      <c r="D258" s="49"/>
      <c r="E258" s="49"/>
      <c r="F258" s="49"/>
      <c r="H258" s="49"/>
      <c r="I258" s="49"/>
      <c r="J258" s="49"/>
      <c r="K258" s="49"/>
      <c r="L258" s="49"/>
    </row>
    <row r="259" spans="3:12" x14ac:dyDescent="0.2">
      <c r="C259" s="49"/>
      <c r="D259" s="49"/>
      <c r="E259" s="49"/>
      <c r="F259" s="49"/>
      <c r="H259" s="49"/>
      <c r="I259" s="49"/>
      <c r="J259" s="49"/>
      <c r="K259" s="49"/>
      <c r="L259" s="49"/>
    </row>
    <row r="260" spans="3:12" x14ac:dyDescent="0.2">
      <c r="C260" s="49"/>
      <c r="D260" s="49"/>
      <c r="E260" s="49"/>
      <c r="F260" s="49"/>
      <c r="H260" s="49"/>
      <c r="I260" s="49"/>
      <c r="J260" s="49"/>
      <c r="K260" s="49"/>
      <c r="L260" s="49"/>
    </row>
    <row r="261" spans="3:12" x14ac:dyDescent="0.2">
      <c r="C261" s="49"/>
      <c r="D261" s="49"/>
      <c r="E261" s="49"/>
      <c r="F261" s="49"/>
      <c r="H261" s="49"/>
      <c r="I261" s="49"/>
      <c r="J261" s="49"/>
      <c r="K261" s="49"/>
      <c r="L261" s="49"/>
    </row>
    <row r="262" spans="3:12" x14ac:dyDescent="0.2">
      <c r="C262" s="49"/>
      <c r="D262" s="49"/>
      <c r="E262" s="49"/>
      <c r="F262" s="49"/>
      <c r="H262" s="49"/>
      <c r="I262" s="49"/>
      <c r="J262" s="49"/>
      <c r="K262" s="49"/>
      <c r="L262" s="49"/>
    </row>
    <row r="263" spans="3:12" x14ac:dyDescent="0.2">
      <c r="C263" s="49"/>
      <c r="D263" s="49"/>
      <c r="E263" s="49"/>
      <c r="F263" s="49"/>
      <c r="H263" s="49"/>
      <c r="I263" s="49"/>
      <c r="J263" s="49"/>
      <c r="K263" s="49"/>
      <c r="L263" s="49"/>
    </row>
    <row r="264" spans="3:12" x14ac:dyDescent="0.2">
      <c r="C264" s="49"/>
      <c r="D264" s="49"/>
      <c r="E264" s="49"/>
      <c r="F264" s="49"/>
      <c r="H264" s="49"/>
      <c r="I264" s="49"/>
      <c r="J264" s="49"/>
      <c r="K264" s="49"/>
      <c r="L264" s="49"/>
    </row>
    <row r="265" spans="3:12" x14ac:dyDescent="0.2">
      <c r="C265" s="49"/>
      <c r="D265" s="49"/>
      <c r="E265" s="49"/>
      <c r="F265" s="49"/>
      <c r="H265" s="49"/>
      <c r="I265" s="49"/>
      <c r="J265" s="49"/>
      <c r="K265" s="49"/>
      <c r="L265" s="49"/>
    </row>
    <row r="266" spans="3:12" x14ac:dyDescent="0.2">
      <c r="C266" s="49"/>
      <c r="D266" s="49"/>
      <c r="E266" s="49"/>
      <c r="F266" s="49"/>
      <c r="H266" s="49"/>
      <c r="I266" s="49"/>
      <c r="J266" s="49"/>
      <c r="K266" s="49"/>
      <c r="L266" s="49"/>
    </row>
    <row r="267" spans="3:12" x14ac:dyDescent="0.2">
      <c r="C267" s="49"/>
      <c r="D267" s="49"/>
      <c r="E267" s="49"/>
      <c r="F267" s="49"/>
      <c r="H267" s="49"/>
      <c r="I267" s="49"/>
      <c r="J267" s="49"/>
      <c r="K267" s="49"/>
      <c r="L267" s="49"/>
    </row>
    <row r="268" spans="3:12" x14ac:dyDescent="0.2">
      <c r="C268" s="49"/>
      <c r="D268" s="49"/>
      <c r="E268" s="49"/>
      <c r="F268" s="49"/>
      <c r="H268" s="49"/>
      <c r="I268" s="49"/>
      <c r="J268" s="49"/>
      <c r="K268" s="49"/>
      <c r="L268" s="49"/>
    </row>
    <row r="269" spans="3:12" x14ac:dyDescent="0.2">
      <c r="C269" s="49"/>
      <c r="D269" s="49"/>
      <c r="E269" s="49"/>
      <c r="F269" s="49"/>
      <c r="H269" s="49"/>
      <c r="I269" s="49"/>
      <c r="J269" s="49"/>
      <c r="K269" s="49"/>
      <c r="L269" s="49"/>
    </row>
    <row r="270" spans="3:12" x14ac:dyDescent="0.2">
      <c r="C270" s="49"/>
      <c r="D270" s="49"/>
      <c r="E270" s="49"/>
      <c r="F270" s="49"/>
      <c r="H270" s="49"/>
      <c r="I270" s="49"/>
      <c r="J270" s="49"/>
      <c r="K270" s="49"/>
      <c r="L270" s="49"/>
    </row>
    <row r="271" spans="3:12" x14ac:dyDescent="0.2">
      <c r="C271" s="49"/>
      <c r="D271" s="49"/>
      <c r="E271" s="49"/>
      <c r="F271" s="49"/>
      <c r="H271" s="49"/>
      <c r="I271" s="49"/>
      <c r="J271" s="49"/>
      <c r="K271" s="49"/>
      <c r="L271" s="49"/>
    </row>
    <row r="272" spans="3:12" x14ac:dyDescent="0.2">
      <c r="C272" s="49"/>
      <c r="D272" s="49"/>
      <c r="E272" s="49"/>
      <c r="F272" s="49"/>
      <c r="H272" s="49"/>
      <c r="I272" s="49"/>
      <c r="J272" s="49"/>
      <c r="K272" s="49"/>
      <c r="L272" s="49"/>
    </row>
    <row r="273" spans="3:12" x14ac:dyDescent="0.2">
      <c r="C273" s="49"/>
      <c r="D273" s="49"/>
      <c r="E273" s="49"/>
      <c r="F273" s="49"/>
      <c r="H273" s="49"/>
      <c r="I273" s="49"/>
      <c r="J273" s="49"/>
      <c r="K273" s="49"/>
      <c r="L273" s="49"/>
    </row>
    <row r="274" spans="3:12" x14ac:dyDescent="0.2">
      <c r="C274" s="49"/>
      <c r="D274" s="49"/>
      <c r="E274" s="49"/>
      <c r="F274" s="49"/>
      <c r="H274" s="49"/>
      <c r="I274" s="49"/>
      <c r="J274" s="49"/>
      <c r="K274" s="49"/>
      <c r="L274" s="49"/>
    </row>
    <row r="275" spans="3:12" x14ac:dyDescent="0.2">
      <c r="C275" s="49"/>
      <c r="D275" s="49"/>
      <c r="E275" s="49"/>
      <c r="F275" s="49"/>
      <c r="H275" s="49"/>
      <c r="I275" s="49"/>
      <c r="J275" s="49"/>
      <c r="K275" s="49"/>
      <c r="L275" s="49"/>
    </row>
    <row r="276" spans="3:12" x14ac:dyDescent="0.2">
      <c r="C276" s="49"/>
      <c r="D276" s="49"/>
      <c r="E276" s="49"/>
      <c r="F276" s="49"/>
      <c r="H276" s="49"/>
      <c r="I276" s="49"/>
      <c r="J276" s="49"/>
      <c r="K276" s="49"/>
      <c r="L276" s="49"/>
    </row>
    <row r="277" spans="3:12" x14ac:dyDescent="0.2">
      <c r="C277" s="49"/>
      <c r="D277" s="49"/>
      <c r="E277" s="49"/>
      <c r="F277" s="49"/>
      <c r="H277" s="49"/>
      <c r="I277" s="49"/>
      <c r="J277" s="49"/>
      <c r="K277" s="49"/>
      <c r="L277" s="49"/>
    </row>
    <row r="278" spans="3:12" x14ac:dyDescent="0.2">
      <c r="C278" s="49"/>
      <c r="D278" s="49"/>
      <c r="E278" s="49"/>
      <c r="F278" s="49"/>
      <c r="H278" s="49"/>
      <c r="I278" s="49"/>
      <c r="J278" s="49"/>
      <c r="K278" s="49"/>
      <c r="L278" s="49"/>
    </row>
    <row r="279" spans="3:12" x14ac:dyDescent="0.2">
      <c r="C279" s="49"/>
      <c r="D279" s="49"/>
      <c r="E279" s="49"/>
      <c r="F279" s="49"/>
      <c r="H279" s="49"/>
      <c r="I279" s="49"/>
      <c r="J279" s="49"/>
      <c r="K279" s="49"/>
      <c r="L279" s="49"/>
    </row>
    <row r="280" spans="3:12" x14ac:dyDescent="0.2">
      <c r="C280" s="49"/>
      <c r="D280" s="49"/>
      <c r="E280" s="49"/>
      <c r="F280" s="49"/>
      <c r="H280" s="49"/>
      <c r="I280" s="49"/>
      <c r="J280" s="49"/>
      <c r="K280" s="49"/>
      <c r="L280" s="49"/>
    </row>
    <row r="281" spans="3:12" x14ac:dyDescent="0.2">
      <c r="C281" s="49"/>
      <c r="D281" s="49"/>
      <c r="E281" s="49"/>
      <c r="F281" s="49"/>
      <c r="H281" s="49"/>
      <c r="I281" s="49"/>
      <c r="J281" s="49"/>
      <c r="K281" s="49"/>
      <c r="L281" s="49"/>
    </row>
    <row r="282" spans="3:12" x14ac:dyDescent="0.2">
      <c r="C282" s="49"/>
      <c r="D282" s="49"/>
      <c r="E282" s="49"/>
      <c r="F282" s="49"/>
      <c r="H282" s="49"/>
      <c r="I282" s="49"/>
      <c r="J282" s="49"/>
      <c r="K282" s="49"/>
      <c r="L282" s="49"/>
    </row>
    <row r="283" spans="3:12" x14ac:dyDescent="0.2">
      <c r="C283" s="49"/>
      <c r="D283" s="49"/>
      <c r="E283" s="49"/>
      <c r="F283" s="49"/>
      <c r="H283" s="49"/>
      <c r="I283" s="49"/>
      <c r="J283" s="49"/>
      <c r="K283" s="49"/>
      <c r="L283" s="49"/>
    </row>
    <row r="284" spans="3:12" x14ac:dyDescent="0.2">
      <c r="C284" s="49"/>
      <c r="D284" s="49"/>
      <c r="E284" s="49"/>
      <c r="F284" s="49"/>
      <c r="H284" s="49"/>
      <c r="I284" s="49"/>
      <c r="J284" s="49"/>
      <c r="K284" s="49"/>
      <c r="L284" s="49"/>
    </row>
    <row r="285" spans="3:12" x14ac:dyDescent="0.2">
      <c r="C285" s="49"/>
      <c r="D285" s="49"/>
      <c r="E285" s="49"/>
      <c r="F285" s="49"/>
      <c r="H285" s="49"/>
      <c r="I285" s="49"/>
      <c r="J285" s="49"/>
      <c r="K285" s="49"/>
      <c r="L285" s="49"/>
    </row>
    <row r="286" spans="3:12" x14ac:dyDescent="0.2">
      <c r="C286" s="49"/>
      <c r="D286" s="49"/>
      <c r="E286" s="49"/>
      <c r="F286" s="49"/>
      <c r="H286" s="49"/>
      <c r="I286" s="49"/>
      <c r="J286" s="49"/>
      <c r="K286" s="49"/>
      <c r="L286" s="49"/>
    </row>
    <row r="287" spans="3:12" x14ac:dyDescent="0.2">
      <c r="C287" s="49"/>
      <c r="D287" s="49"/>
      <c r="E287" s="49"/>
      <c r="F287" s="49"/>
      <c r="H287" s="49"/>
      <c r="I287" s="49"/>
      <c r="J287" s="49"/>
      <c r="K287" s="49"/>
      <c r="L287" s="49"/>
    </row>
    <row r="288" spans="3:12" x14ac:dyDescent="0.2">
      <c r="C288" s="49"/>
      <c r="D288" s="49"/>
      <c r="E288" s="49"/>
      <c r="F288" s="49"/>
      <c r="H288" s="49"/>
      <c r="I288" s="49"/>
      <c r="J288" s="49"/>
      <c r="K288" s="49"/>
      <c r="L288" s="49"/>
    </row>
    <row r="289" spans="3:12" x14ac:dyDescent="0.2">
      <c r="C289" s="49"/>
      <c r="D289" s="49"/>
      <c r="E289" s="49"/>
      <c r="F289" s="49"/>
      <c r="H289" s="49"/>
      <c r="I289" s="49"/>
      <c r="J289" s="49"/>
      <c r="K289" s="49"/>
      <c r="L289" s="49"/>
    </row>
    <row r="290" spans="3:12" x14ac:dyDescent="0.2">
      <c r="C290" s="49"/>
      <c r="D290" s="49"/>
      <c r="E290" s="49"/>
      <c r="F290" s="49"/>
      <c r="H290" s="49"/>
      <c r="I290" s="49"/>
      <c r="J290" s="49"/>
      <c r="K290" s="49"/>
      <c r="L290" s="49"/>
    </row>
    <row r="291" spans="3:12" x14ac:dyDescent="0.2">
      <c r="C291" s="49"/>
      <c r="D291" s="49"/>
      <c r="E291" s="49"/>
      <c r="F291" s="49"/>
      <c r="H291" s="49"/>
      <c r="I291" s="49"/>
      <c r="J291" s="49"/>
      <c r="K291" s="49"/>
      <c r="L291" s="49"/>
    </row>
    <row r="292" spans="3:12" x14ac:dyDescent="0.2">
      <c r="C292" s="49"/>
      <c r="D292" s="49"/>
      <c r="E292" s="49"/>
      <c r="F292" s="49"/>
      <c r="H292" s="49"/>
      <c r="I292" s="49"/>
      <c r="J292" s="49"/>
      <c r="K292" s="49"/>
      <c r="L292" s="49"/>
    </row>
    <row r="293" spans="3:12" x14ac:dyDescent="0.2">
      <c r="C293" s="49"/>
      <c r="D293" s="49"/>
      <c r="E293" s="49"/>
      <c r="F293" s="49"/>
      <c r="H293" s="49"/>
      <c r="I293" s="49"/>
      <c r="J293" s="49"/>
      <c r="K293" s="49"/>
      <c r="L293" s="49"/>
    </row>
    <row r="294" spans="3:12" x14ac:dyDescent="0.2">
      <c r="C294" s="49"/>
      <c r="D294" s="49"/>
      <c r="E294" s="49"/>
      <c r="F294" s="49"/>
      <c r="H294" s="49"/>
      <c r="I294" s="49"/>
      <c r="J294" s="49"/>
      <c r="K294" s="49"/>
      <c r="L294" s="49"/>
    </row>
    <row r="295" spans="3:12" x14ac:dyDescent="0.2">
      <c r="C295" s="49"/>
      <c r="D295" s="49"/>
      <c r="E295" s="49"/>
      <c r="F295" s="49"/>
      <c r="H295" s="49"/>
      <c r="I295" s="49"/>
      <c r="J295" s="49"/>
      <c r="K295" s="49"/>
      <c r="L295" s="49"/>
    </row>
    <row r="296" spans="3:12" x14ac:dyDescent="0.2">
      <c r="C296" s="49"/>
      <c r="D296" s="49"/>
      <c r="E296" s="49"/>
      <c r="F296" s="49"/>
      <c r="H296" s="49"/>
      <c r="I296" s="49"/>
      <c r="J296" s="49"/>
      <c r="K296" s="49"/>
      <c r="L296" s="49"/>
    </row>
    <row r="297" spans="3:12" x14ac:dyDescent="0.2">
      <c r="C297" s="49"/>
      <c r="D297" s="49"/>
      <c r="E297" s="49"/>
      <c r="F297" s="49"/>
      <c r="H297" s="49"/>
      <c r="I297" s="49"/>
      <c r="J297" s="49"/>
      <c r="K297" s="49"/>
      <c r="L297" s="49"/>
    </row>
    <row r="298" spans="3:12" x14ac:dyDescent="0.2">
      <c r="C298" s="49"/>
      <c r="D298" s="49"/>
      <c r="E298" s="49"/>
      <c r="F298" s="49"/>
      <c r="H298" s="49"/>
      <c r="I298" s="49"/>
      <c r="J298" s="49"/>
      <c r="K298" s="49"/>
      <c r="L298" s="49"/>
    </row>
    <row r="299" spans="3:12" x14ac:dyDescent="0.2">
      <c r="C299" s="49"/>
      <c r="D299" s="49"/>
      <c r="E299" s="49"/>
      <c r="F299" s="49"/>
      <c r="H299" s="49"/>
      <c r="I299" s="49"/>
      <c r="J299" s="49"/>
      <c r="K299" s="49"/>
      <c r="L299" s="49"/>
    </row>
    <row r="300" spans="3:12" x14ac:dyDescent="0.2">
      <c r="C300" s="49"/>
      <c r="D300" s="49"/>
      <c r="E300" s="49"/>
      <c r="F300" s="49"/>
      <c r="H300" s="49"/>
      <c r="I300" s="49"/>
      <c r="J300" s="49"/>
      <c r="K300" s="49"/>
      <c r="L300" s="49"/>
    </row>
    <row r="301" spans="3:12" x14ac:dyDescent="0.2">
      <c r="C301" s="49"/>
      <c r="D301" s="49"/>
      <c r="E301" s="49"/>
      <c r="F301" s="49"/>
      <c r="H301" s="49"/>
      <c r="I301" s="49"/>
      <c r="J301" s="49"/>
      <c r="K301" s="49"/>
      <c r="L301" s="49"/>
    </row>
    <row r="302" spans="3:12" x14ac:dyDescent="0.2">
      <c r="C302" s="49"/>
      <c r="D302" s="49"/>
      <c r="E302" s="49"/>
      <c r="F302" s="49"/>
      <c r="H302" s="49"/>
      <c r="I302" s="49"/>
      <c r="J302" s="49"/>
      <c r="K302" s="49"/>
      <c r="L302" s="49"/>
    </row>
    <row r="303" spans="3:12" x14ac:dyDescent="0.2">
      <c r="C303" s="49"/>
      <c r="D303" s="49"/>
      <c r="E303" s="49"/>
      <c r="F303" s="49"/>
      <c r="H303" s="49"/>
      <c r="I303" s="49"/>
      <c r="J303" s="49"/>
      <c r="K303" s="49"/>
      <c r="L303" s="49"/>
    </row>
    <row r="304" spans="3:12" x14ac:dyDescent="0.2">
      <c r="C304" s="49"/>
      <c r="D304" s="49"/>
      <c r="E304" s="49"/>
      <c r="F304" s="49"/>
      <c r="H304" s="49"/>
      <c r="I304" s="49"/>
      <c r="J304" s="49"/>
      <c r="K304" s="49"/>
      <c r="L304" s="49"/>
    </row>
    <row r="305" spans="3:12" x14ac:dyDescent="0.2">
      <c r="C305" s="49"/>
      <c r="D305" s="49"/>
      <c r="E305" s="49"/>
      <c r="F305" s="49"/>
      <c r="H305" s="49"/>
      <c r="I305" s="49"/>
      <c r="J305" s="49"/>
      <c r="K305" s="49"/>
      <c r="L305" s="49"/>
    </row>
    <row r="306" spans="3:12" x14ac:dyDescent="0.2">
      <c r="C306" s="49"/>
      <c r="D306" s="49"/>
      <c r="E306" s="49"/>
      <c r="F306" s="49"/>
      <c r="H306" s="49"/>
      <c r="I306" s="49"/>
      <c r="J306" s="49"/>
      <c r="K306" s="49"/>
      <c r="L306" s="49"/>
    </row>
    <row r="307" spans="3:12" x14ac:dyDescent="0.2">
      <c r="C307" s="49"/>
      <c r="D307" s="49"/>
      <c r="E307" s="49"/>
      <c r="F307" s="49"/>
      <c r="H307" s="49"/>
      <c r="I307" s="49"/>
      <c r="J307" s="49"/>
      <c r="K307" s="49"/>
      <c r="L307" s="49"/>
    </row>
    <row r="308" spans="3:12" x14ac:dyDescent="0.2">
      <c r="C308" s="49"/>
      <c r="D308" s="49"/>
      <c r="E308" s="49"/>
      <c r="F308" s="49"/>
      <c r="H308" s="49"/>
      <c r="I308" s="49"/>
      <c r="J308" s="49"/>
      <c r="K308" s="49"/>
      <c r="L308" s="49"/>
    </row>
    <row r="309" spans="3:12" x14ac:dyDescent="0.2">
      <c r="C309" s="49"/>
      <c r="D309" s="49"/>
      <c r="E309" s="49"/>
      <c r="F309" s="49"/>
      <c r="H309" s="49"/>
      <c r="I309" s="49"/>
      <c r="J309" s="49"/>
      <c r="K309" s="49"/>
      <c r="L309" s="49"/>
    </row>
    <row r="310" spans="3:12" x14ac:dyDescent="0.2">
      <c r="C310" s="49"/>
      <c r="D310" s="49"/>
      <c r="E310" s="49"/>
      <c r="F310" s="49"/>
      <c r="H310" s="49"/>
      <c r="I310" s="49"/>
      <c r="J310" s="49"/>
      <c r="K310" s="49"/>
      <c r="L310" s="49"/>
    </row>
    <row r="311" spans="3:12" x14ac:dyDescent="0.2">
      <c r="C311" s="49"/>
      <c r="D311" s="49"/>
      <c r="E311" s="49"/>
      <c r="F311" s="49"/>
      <c r="H311" s="49"/>
      <c r="I311" s="49"/>
      <c r="J311" s="49"/>
      <c r="K311" s="49"/>
      <c r="L311" s="49"/>
    </row>
    <row r="312" spans="3:12" x14ac:dyDescent="0.2">
      <c r="C312" s="49"/>
      <c r="D312" s="49"/>
      <c r="E312" s="49"/>
      <c r="F312" s="49"/>
      <c r="H312" s="49"/>
      <c r="I312" s="49"/>
      <c r="J312" s="49"/>
      <c r="K312" s="49"/>
      <c r="L312" s="49"/>
    </row>
    <row r="313" spans="3:12" x14ac:dyDescent="0.2">
      <c r="C313" s="49"/>
      <c r="D313" s="49"/>
      <c r="E313" s="49"/>
      <c r="F313" s="49"/>
      <c r="H313" s="49"/>
      <c r="I313" s="49"/>
      <c r="J313" s="49"/>
      <c r="K313" s="49"/>
      <c r="L313" s="49"/>
    </row>
    <row r="314" spans="3:12" x14ac:dyDescent="0.2">
      <c r="C314" s="49"/>
      <c r="D314" s="49"/>
      <c r="E314" s="49"/>
      <c r="F314" s="49"/>
      <c r="H314" s="49"/>
      <c r="I314" s="49"/>
      <c r="J314" s="49"/>
      <c r="K314" s="49"/>
      <c r="L314" s="49"/>
    </row>
    <row r="315" spans="3:12" x14ac:dyDescent="0.2">
      <c r="C315" s="49"/>
      <c r="D315" s="49"/>
      <c r="E315" s="49"/>
      <c r="F315" s="49"/>
      <c r="H315" s="49"/>
      <c r="I315" s="49"/>
      <c r="J315" s="49"/>
      <c r="K315" s="49"/>
      <c r="L315" s="49"/>
    </row>
    <row r="316" spans="3:12" x14ac:dyDescent="0.2">
      <c r="C316" s="49"/>
      <c r="D316" s="49"/>
      <c r="E316" s="49"/>
      <c r="F316" s="49"/>
      <c r="H316" s="49"/>
      <c r="I316" s="49"/>
      <c r="J316" s="49"/>
      <c r="K316" s="49"/>
      <c r="L316" s="49"/>
    </row>
    <row r="317" spans="3:12" x14ac:dyDescent="0.2">
      <c r="C317" s="49"/>
      <c r="D317" s="49"/>
      <c r="E317" s="49"/>
      <c r="F317" s="49"/>
      <c r="H317" s="49"/>
      <c r="I317" s="49"/>
      <c r="J317" s="49"/>
      <c r="K317" s="49"/>
      <c r="L317" s="49"/>
    </row>
    <row r="318" spans="3:12" x14ac:dyDescent="0.2">
      <c r="C318" s="49"/>
      <c r="D318" s="49"/>
      <c r="E318" s="49"/>
      <c r="F318" s="49"/>
      <c r="H318" s="49"/>
      <c r="I318" s="49"/>
      <c r="J318" s="49"/>
      <c r="K318" s="49"/>
      <c r="L318" s="49"/>
    </row>
    <row r="319" spans="3:12" x14ac:dyDescent="0.2">
      <c r="C319" s="49"/>
      <c r="D319" s="49"/>
      <c r="E319" s="49"/>
      <c r="F319" s="49"/>
      <c r="H319" s="49"/>
      <c r="I319" s="49"/>
      <c r="J319" s="49"/>
      <c r="K319" s="49"/>
      <c r="L319" s="49"/>
    </row>
    <row r="320" spans="3:12" x14ac:dyDescent="0.2">
      <c r="C320" s="49"/>
      <c r="D320" s="49"/>
      <c r="E320" s="49"/>
      <c r="F320" s="49"/>
      <c r="H320" s="49"/>
      <c r="I320" s="49"/>
      <c r="J320" s="49"/>
      <c r="K320" s="49"/>
      <c r="L320" s="49"/>
    </row>
    <row r="321" spans="3:12" x14ac:dyDescent="0.2">
      <c r="C321" s="49"/>
      <c r="D321" s="49"/>
      <c r="E321" s="49"/>
      <c r="F321" s="49"/>
      <c r="H321" s="49"/>
      <c r="I321" s="49"/>
      <c r="J321" s="49"/>
      <c r="K321" s="49"/>
      <c r="L321" s="49"/>
    </row>
    <row r="322" spans="3:12" x14ac:dyDescent="0.2">
      <c r="C322" s="49"/>
      <c r="D322" s="49"/>
      <c r="E322" s="49"/>
      <c r="F322" s="49"/>
      <c r="H322" s="49"/>
      <c r="I322" s="49"/>
      <c r="J322" s="49"/>
      <c r="K322" s="49"/>
      <c r="L322" s="49"/>
    </row>
    <row r="323" spans="3:12" x14ac:dyDescent="0.2">
      <c r="C323" s="49"/>
      <c r="D323" s="49"/>
      <c r="E323" s="49"/>
      <c r="F323" s="49"/>
      <c r="H323" s="49"/>
      <c r="I323" s="49"/>
      <c r="J323" s="49"/>
      <c r="K323" s="49"/>
      <c r="L323" s="49"/>
    </row>
    <row r="324" spans="3:12" x14ac:dyDescent="0.2">
      <c r="C324" s="49"/>
      <c r="D324" s="49"/>
      <c r="E324" s="49"/>
      <c r="F324" s="49"/>
      <c r="H324" s="49"/>
      <c r="I324" s="49"/>
      <c r="J324" s="49"/>
      <c r="K324" s="49"/>
      <c r="L324" s="49"/>
    </row>
    <row r="325" spans="3:12" x14ac:dyDescent="0.2">
      <c r="C325" s="49"/>
      <c r="D325" s="49"/>
      <c r="E325" s="49"/>
      <c r="F325" s="49"/>
      <c r="H325" s="49"/>
      <c r="I325" s="49"/>
      <c r="J325" s="49"/>
      <c r="K325" s="49"/>
      <c r="L325" s="49"/>
    </row>
    <row r="326" spans="3:12" x14ac:dyDescent="0.2">
      <c r="C326" s="49"/>
      <c r="D326" s="49"/>
      <c r="E326" s="49"/>
      <c r="F326" s="49"/>
      <c r="H326" s="49"/>
      <c r="I326" s="49"/>
      <c r="J326" s="49"/>
      <c r="K326" s="49"/>
      <c r="L326" s="49"/>
    </row>
    <row r="327" spans="3:12" x14ac:dyDescent="0.2">
      <c r="C327" s="49"/>
      <c r="D327" s="49"/>
      <c r="E327" s="49"/>
      <c r="F327" s="49"/>
      <c r="H327" s="49"/>
      <c r="I327" s="49"/>
      <c r="J327" s="49"/>
      <c r="K327" s="49"/>
      <c r="L327" s="49"/>
    </row>
    <row r="328" spans="3:12" x14ac:dyDescent="0.2">
      <c r="C328" s="49"/>
      <c r="D328" s="49"/>
      <c r="E328" s="49"/>
      <c r="F328" s="49"/>
      <c r="H328" s="49"/>
      <c r="I328" s="49"/>
      <c r="J328" s="49"/>
      <c r="K328" s="49"/>
      <c r="L328" s="49"/>
    </row>
    <row r="329" spans="3:12" x14ac:dyDescent="0.2">
      <c r="C329" s="49"/>
      <c r="D329" s="49"/>
      <c r="E329" s="49"/>
      <c r="F329" s="49"/>
      <c r="H329" s="49"/>
      <c r="I329" s="49"/>
      <c r="J329" s="49"/>
      <c r="K329" s="49"/>
      <c r="L329" s="49"/>
    </row>
    <row r="330" spans="3:12" x14ac:dyDescent="0.2">
      <c r="C330" s="49"/>
      <c r="D330" s="49"/>
      <c r="E330" s="49"/>
      <c r="F330" s="49"/>
      <c r="H330" s="49"/>
      <c r="I330" s="49"/>
      <c r="J330" s="49"/>
      <c r="K330" s="49"/>
      <c r="L330" s="49"/>
    </row>
    <row r="331" spans="3:12" x14ac:dyDescent="0.2">
      <c r="C331" s="49"/>
      <c r="D331" s="49"/>
      <c r="E331" s="49"/>
      <c r="F331" s="49"/>
      <c r="H331" s="49"/>
      <c r="I331" s="49"/>
      <c r="J331" s="49"/>
      <c r="K331" s="49"/>
      <c r="L331" s="49"/>
    </row>
    <row r="332" spans="3:12" x14ac:dyDescent="0.2">
      <c r="C332" s="49"/>
      <c r="D332" s="49"/>
      <c r="E332" s="49"/>
      <c r="F332" s="49"/>
      <c r="H332" s="49"/>
      <c r="I332" s="49"/>
      <c r="J332" s="49"/>
      <c r="K332" s="49"/>
      <c r="L332" s="49"/>
    </row>
    <row r="333" spans="3:12" x14ac:dyDescent="0.2">
      <c r="C333" s="49"/>
      <c r="D333" s="49"/>
      <c r="E333" s="49"/>
      <c r="F333" s="49"/>
      <c r="H333" s="49"/>
      <c r="I333" s="49"/>
      <c r="J333" s="49"/>
      <c r="K333" s="49"/>
      <c r="L333" s="49"/>
    </row>
    <row r="334" spans="3:12" x14ac:dyDescent="0.2">
      <c r="C334" s="49"/>
      <c r="D334" s="49"/>
      <c r="E334" s="49"/>
      <c r="F334" s="49"/>
      <c r="H334" s="49"/>
      <c r="I334" s="49"/>
      <c r="J334" s="49"/>
      <c r="K334" s="49"/>
      <c r="L334" s="49"/>
    </row>
    <row r="335" spans="3:12" x14ac:dyDescent="0.2">
      <c r="C335" s="49"/>
      <c r="D335" s="49"/>
      <c r="E335" s="49"/>
      <c r="F335" s="49"/>
      <c r="H335" s="49"/>
      <c r="I335" s="49"/>
      <c r="J335" s="49"/>
      <c r="K335" s="49"/>
      <c r="L335" s="49"/>
    </row>
    <row r="336" spans="3:12" x14ac:dyDescent="0.2">
      <c r="C336" s="49"/>
      <c r="D336" s="49"/>
      <c r="E336" s="49"/>
      <c r="F336" s="49"/>
      <c r="H336" s="49"/>
      <c r="I336" s="49"/>
      <c r="J336" s="49"/>
      <c r="K336" s="49"/>
      <c r="L336" s="49"/>
    </row>
    <row r="337" spans="3:12" x14ac:dyDescent="0.2">
      <c r="C337" s="49"/>
      <c r="D337" s="49"/>
      <c r="E337" s="49"/>
      <c r="F337" s="49"/>
      <c r="H337" s="49"/>
      <c r="I337" s="49"/>
      <c r="J337" s="49"/>
      <c r="K337" s="49"/>
      <c r="L337" s="49"/>
    </row>
    <row r="338" spans="3:12" x14ac:dyDescent="0.2">
      <c r="C338" s="49"/>
      <c r="D338" s="49"/>
      <c r="E338" s="49"/>
      <c r="F338" s="49"/>
      <c r="H338" s="49"/>
      <c r="I338" s="49"/>
      <c r="J338" s="49"/>
      <c r="K338" s="49"/>
      <c r="L338" s="49"/>
    </row>
    <row r="339" spans="3:12" x14ac:dyDescent="0.2">
      <c r="C339" s="49"/>
      <c r="D339" s="49"/>
      <c r="E339" s="49"/>
      <c r="F339" s="49"/>
      <c r="H339" s="49"/>
      <c r="I339" s="49"/>
      <c r="J339" s="49"/>
      <c r="K339" s="49"/>
      <c r="L339" s="49"/>
    </row>
    <row r="340" spans="3:12" x14ac:dyDescent="0.2">
      <c r="C340" s="49"/>
      <c r="D340" s="49"/>
      <c r="E340" s="49"/>
      <c r="F340" s="49"/>
      <c r="H340" s="49"/>
      <c r="I340" s="49"/>
      <c r="J340" s="49"/>
      <c r="K340" s="49"/>
      <c r="L340" s="49"/>
    </row>
    <row r="341" spans="3:12" x14ac:dyDescent="0.2">
      <c r="C341" s="49"/>
      <c r="D341" s="49"/>
      <c r="E341" s="49"/>
      <c r="F341" s="49"/>
      <c r="H341" s="49"/>
      <c r="I341" s="49"/>
      <c r="J341" s="49"/>
      <c r="K341" s="49"/>
      <c r="L341" s="49"/>
    </row>
    <row r="342" spans="3:12" x14ac:dyDescent="0.2">
      <c r="C342" s="49"/>
      <c r="D342" s="49"/>
      <c r="E342" s="49"/>
      <c r="F342" s="49"/>
      <c r="H342" s="49"/>
      <c r="I342" s="49"/>
      <c r="J342" s="49"/>
      <c r="K342" s="49"/>
      <c r="L342" s="49"/>
    </row>
    <row r="343" spans="3:12" x14ac:dyDescent="0.2">
      <c r="C343" s="49"/>
      <c r="D343" s="49"/>
      <c r="E343" s="49"/>
      <c r="F343" s="49"/>
      <c r="H343" s="49"/>
      <c r="I343" s="49"/>
      <c r="J343" s="49"/>
      <c r="K343" s="49"/>
      <c r="L343" s="49"/>
    </row>
    <row r="344" spans="3:12" x14ac:dyDescent="0.2">
      <c r="C344" s="49"/>
      <c r="D344" s="49"/>
      <c r="E344" s="49"/>
      <c r="F344" s="49"/>
      <c r="H344" s="49"/>
      <c r="I344" s="49"/>
      <c r="J344" s="49"/>
      <c r="K344" s="49"/>
      <c r="L344" s="49"/>
    </row>
    <row r="345" spans="3:12" x14ac:dyDescent="0.2">
      <c r="C345" s="49"/>
      <c r="D345" s="49"/>
      <c r="E345" s="49"/>
      <c r="F345" s="49"/>
      <c r="H345" s="49"/>
      <c r="I345" s="49"/>
      <c r="J345" s="49"/>
      <c r="K345" s="49"/>
      <c r="L345" s="49"/>
    </row>
    <row r="346" spans="3:12" x14ac:dyDescent="0.2">
      <c r="C346" s="49"/>
      <c r="D346" s="49"/>
      <c r="E346" s="49"/>
      <c r="F346" s="49"/>
      <c r="H346" s="49"/>
      <c r="I346" s="49"/>
      <c r="J346" s="49"/>
      <c r="K346" s="49"/>
      <c r="L346" s="49"/>
    </row>
    <row r="347" spans="3:12" x14ac:dyDescent="0.2">
      <c r="C347" s="49"/>
      <c r="D347" s="49"/>
      <c r="E347" s="49"/>
      <c r="F347" s="49"/>
      <c r="H347" s="49"/>
      <c r="I347" s="49"/>
      <c r="J347" s="49"/>
      <c r="K347" s="49"/>
      <c r="L347" s="49"/>
    </row>
    <row r="348" spans="3:12" x14ac:dyDescent="0.2">
      <c r="C348" s="49"/>
      <c r="D348" s="49"/>
      <c r="E348" s="49"/>
      <c r="F348" s="49"/>
      <c r="H348" s="49"/>
      <c r="I348" s="49"/>
      <c r="J348" s="49"/>
      <c r="K348" s="49"/>
      <c r="L348" s="49"/>
    </row>
    <row r="349" spans="3:12" x14ac:dyDescent="0.2">
      <c r="C349" s="49"/>
      <c r="D349" s="49"/>
      <c r="E349" s="49"/>
      <c r="F349" s="49"/>
      <c r="H349" s="49"/>
      <c r="I349" s="49"/>
      <c r="J349" s="49"/>
      <c r="K349" s="49"/>
      <c r="L349" s="49"/>
    </row>
    <row r="350" spans="3:12" x14ac:dyDescent="0.2">
      <c r="C350" s="49"/>
      <c r="D350" s="49"/>
      <c r="E350" s="49"/>
      <c r="F350" s="49"/>
      <c r="H350" s="49"/>
      <c r="I350" s="49"/>
      <c r="J350" s="49"/>
      <c r="K350" s="49"/>
      <c r="L350" s="49"/>
    </row>
    <row r="351" spans="3:12" x14ac:dyDescent="0.2">
      <c r="C351" s="49"/>
      <c r="D351" s="49"/>
      <c r="E351" s="49"/>
      <c r="F351" s="49"/>
      <c r="H351" s="49"/>
      <c r="I351" s="49"/>
      <c r="J351" s="49"/>
      <c r="K351" s="49"/>
      <c r="L351" s="49"/>
    </row>
    <row r="352" spans="3:12" x14ac:dyDescent="0.2">
      <c r="C352" s="49"/>
      <c r="D352" s="49"/>
      <c r="E352" s="49"/>
      <c r="F352" s="49"/>
      <c r="H352" s="49"/>
      <c r="I352" s="49"/>
      <c r="J352" s="49"/>
      <c r="K352" s="49"/>
      <c r="L352" s="49"/>
    </row>
    <row r="353" spans="3:12" x14ac:dyDescent="0.2">
      <c r="C353" s="49"/>
      <c r="D353" s="49"/>
      <c r="E353" s="49"/>
      <c r="F353" s="49"/>
      <c r="H353" s="49"/>
      <c r="I353" s="49"/>
      <c r="J353" s="49"/>
      <c r="K353" s="49"/>
      <c r="L353" s="49"/>
    </row>
    <row r="354" spans="3:12" x14ac:dyDescent="0.2">
      <c r="C354" s="49"/>
      <c r="D354" s="49"/>
      <c r="E354" s="49"/>
      <c r="F354" s="49"/>
      <c r="H354" s="49"/>
      <c r="I354" s="49"/>
      <c r="J354" s="49"/>
      <c r="K354" s="49"/>
      <c r="L354" s="49"/>
    </row>
    <row r="355" spans="3:12" x14ac:dyDescent="0.2">
      <c r="C355" s="49"/>
      <c r="D355" s="49"/>
      <c r="E355" s="49"/>
      <c r="F355" s="49"/>
      <c r="H355" s="49"/>
      <c r="I355" s="49"/>
      <c r="J355" s="49"/>
      <c r="K355" s="49"/>
      <c r="L355" s="49"/>
    </row>
    <row r="356" spans="3:12" x14ac:dyDescent="0.2">
      <c r="C356" s="49"/>
      <c r="D356" s="49"/>
      <c r="E356" s="49"/>
      <c r="F356" s="49"/>
      <c r="H356" s="49"/>
      <c r="I356" s="49"/>
      <c r="J356" s="49"/>
      <c r="K356" s="49"/>
      <c r="L356" s="49"/>
    </row>
    <row r="357" spans="3:12" x14ac:dyDescent="0.2">
      <c r="C357" s="49"/>
      <c r="D357" s="49"/>
      <c r="E357" s="49"/>
      <c r="F357" s="49"/>
      <c r="H357" s="49"/>
      <c r="I357" s="49"/>
      <c r="J357" s="49"/>
      <c r="K357" s="49"/>
      <c r="L357" s="49"/>
    </row>
    <row r="358" spans="3:12" x14ac:dyDescent="0.2">
      <c r="C358" s="49"/>
      <c r="D358" s="49"/>
      <c r="E358" s="49"/>
      <c r="F358" s="49"/>
      <c r="H358" s="49"/>
      <c r="I358" s="49"/>
      <c r="J358" s="49"/>
      <c r="K358" s="49"/>
      <c r="L358" s="49"/>
    </row>
    <row r="359" spans="3:12" x14ac:dyDescent="0.2">
      <c r="C359" s="49"/>
      <c r="D359" s="49"/>
      <c r="E359" s="49"/>
      <c r="F359" s="49"/>
      <c r="H359" s="49"/>
      <c r="I359" s="49"/>
      <c r="J359" s="49"/>
      <c r="K359" s="49"/>
      <c r="L359" s="49"/>
    </row>
    <row r="360" spans="3:12" x14ac:dyDescent="0.2">
      <c r="C360" s="49"/>
      <c r="D360" s="49"/>
      <c r="E360" s="49"/>
      <c r="F360" s="49"/>
      <c r="H360" s="49"/>
      <c r="I360" s="49"/>
      <c r="J360" s="49"/>
      <c r="K360" s="49"/>
      <c r="L360" s="49"/>
    </row>
    <row r="361" spans="3:12" x14ac:dyDescent="0.2">
      <c r="C361" s="49"/>
      <c r="D361" s="49"/>
      <c r="E361" s="49"/>
      <c r="F361" s="49"/>
      <c r="H361" s="49"/>
      <c r="I361" s="49"/>
      <c r="J361" s="49"/>
      <c r="K361" s="49"/>
      <c r="L361" s="49"/>
    </row>
    <row r="362" spans="3:12" x14ac:dyDescent="0.2">
      <c r="C362" s="49"/>
      <c r="D362" s="49"/>
      <c r="E362" s="49"/>
      <c r="F362" s="49"/>
      <c r="H362" s="49"/>
      <c r="I362" s="49"/>
      <c r="J362" s="49"/>
      <c r="K362" s="49"/>
      <c r="L362" s="49"/>
    </row>
    <row r="363" spans="3:12" x14ac:dyDescent="0.2">
      <c r="C363" s="49"/>
      <c r="D363" s="49"/>
      <c r="E363" s="49"/>
      <c r="F363" s="49"/>
      <c r="H363" s="49"/>
      <c r="I363" s="49"/>
      <c r="J363" s="49"/>
      <c r="K363" s="49"/>
      <c r="L363" s="49"/>
    </row>
    <row r="364" spans="3:12" x14ac:dyDescent="0.2">
      <c r="C364" s="49"/>
      <c r="D364" s="49"/>
      <c r="E364" s="49"/>
      <c r="F364" s="49"/>
      <c r="H364" s="49"/>
      <c r="I364" s="49"/>
      <c r="J364" s="49"/>
      <c r="K364" s="49"/>
      <c r="L364" s="49"/>
    </row>
    <row r="365" spans="3:12" x14ac:dyDescent="0.2">
      <c r="C365" s="49"/>
      <c r="D365" s="49"/>
      <c r="E365" s="49"/>
      <c r="F365" s="49"/>
      <c r="H365" s="49"/>
      <c r="I365" s="49"/>
      <c r="J365" s="49"/>
      <c r="K365" s="49"/>
      <c r="L365" s="49"/>
    </row>
    <row r="366" spans="3:12" x14ac:dyDescent="0.2">
      <c r="C366" s="49"/>
      <c r="D366" s="49"/>
      <c r="E366" s="49"/>
      <c r="F366" s="49"/>
      <c r="H366" s="49"/>
      <c r="I366" s="49"/>
      <c r="J366" s="49"/>
      <c r="K366" s="49"/>
      <c r="L366" s="49"/>
    </row>
    <row r="367" spans="3:12" x14ac:dyDescent="0.2">
      <c r="C367" s="49"/>
      <c r="D367" s="49"/>
      <c r="E367" s="49"/>
      <c r="F367" s="49"/>
      <c r="H367" s="49"/>
      <c r="I367" s="49"/>
      <c r="J367" s="49"/>
      <c r="K367" s="49"/>
      <c r="L367" s="49"/>
    </row>
    <row r="368" spans="3:12" x14ac:dyDescent="0.2">
      <c r="C368" s="49"/>
      <c r="D368" s="49"/>
      <c r="E368" s="49"/>
      <c r="F368" s="49"/>
      <c r="H368" s="49"/>
      <c r="I368" s="49"/>
      <c r="J368" s="49"/>
      <c r="K368" s="49"/>
      <c r="L368" s="49"/>
    </row>
    <row r="369" spans="3:12" x14ac:dyDescent="0.2">
      <c r="C369" s="49"/>
      <c r="D369" s="49"/>
      <c r="E369" s="49"/>
      <c r="F369" s="49"/>
      <c r="H369" s="49"/>
      <c r="I369" s="49"/>
      <c r="J369" s="49"/>
      <c r="K369" s="49"/>
      <c r="L369" s="49"/>
    </row>
    <row r="370" spans="3:12" x14ac:dyDescent="0.2">
      <c r="C370" s="49"/>
      <c r="D370" s="49"/>
      <c r="E370" s="49"/>
      <c r="F370" s="49"/>
      <c r="H370" s="49"/>
      <c r="I370" s="49"/>
      <c r="J370" s="49"/>
      <c r="K370" s="49"/>
      <c r="L370" s="49"/>
    </row>
    <row r="371" spans="3:12" x14ac:dyDescent="0.2">
      <c r="C371" s="49"/>
      <c r="D371" s="49"/>
      <c r="E371" s="49"/>
      <c r="F371" s="49"/>
      <c r="H371" s="49"/>
      <c r="I371" s="49"/>
      <c r="J371" s="49"/>
      <c r="K371" s="49"/>
      <c r="L371" s="49"/>
    </row>
    <row r="372" spans="3:12" x14ac:dyDescent="0.2">
      <c r="C372" s="49"/>
      <c r="D372" s="49"/>
      <c r="E372" s="49"/>
      <c r="F372" s="49"/>
      <c r="H372" s="49"/>
      <c r="I372" s="49"/>
      <c r="J372" s="49"/>
      <c r="K372" s="49"/>
      <c r="L372" s="49"/>
    </row>
    <row r="373" spans="3:12" x14ac:dyDescent="0.2">
      <c r="C373" s="49"/>
      <c r="D373" s="49"/>
      <c r="E373" s="49"/>
      <c r="F373" s="49"/>
      <c r="H373" s="49"/>
      <c r="I373" s="49"/>
      <c r="J373" s="49"/>
      <c r="K373" s="49"/>
      <c r="L373" s="49"/>
    </row>
    <row r="374" spans="3:12" x14ac:dyDescent="0.2">
      <c r="C374" s="49"/>
      <c r="D374" s="49"/>
      <c r="E374" s="49"/>
      <c r="F374" s="49"/>
      <c r="H374" s="49"/>
      <c r="I374" s="49"/>
      <c r="J374" s="49"/>
      <c r="K374" s="49"/>
      <c r="L374" s="49"/>
    </row>
    <row r="375" spans="3:12" x14ac:dyDescent="0.2">
      <c r="C375" s="49"/>
      <c r="D375" s="49"/>
      <c r="E375" s="49"/>
      <c r="F375" s="49"/>
      <c r="H375" s="49"/>
      <c r="I375" s="49"/>
      <c r="J375" s="49"/>
      <c r="K375" s="49"/>
      <c r="L375" s="49"/>
    </row>
    <row r="376" spans="3:12" x14ac:dyDescent="0.2">
      <c r="C376" s="49"/>
      <c r="D376" s="49"/>
      <c r="E376" s="49"/>
      <c r="F376" s="49"/>
      <c r="H376" s="49"/>
      <c r="I376" s="49"/>
      <c r="J376" s="49"/>
      <c r="K376" s="49"/>
      <c r="L376" s="49"/>
    </row>
    <row r="377" spans="3:12" x14ac:dyDescent="0.2">
      <c r="C377" s="49"/>
      <c r="D377" s="49"/>
      <c r="E377" s="49"/>
      <c r="F377" s="49"/>
      <c r="H377" s="49"/>
      <c r="I377" s="49"/>
      <c r="J377" s="49"/>
      <c r="K377" s="49"/>
      <c r="L377" s="49"/>
    </row>
    <row r="378" spans="3:12" x14ac:dyDescent="0.2">
      <c r="C378" s="49"/>
      <c r="D378" s="49"/>
      <c r="E378" s="49"/>
      <c r="F378" s="49"/>
      <c r="H378" s="49"/>
      <c r="I378" s="49"/>
      <c r="J378" s="49"/>
      <c r="K378" s="49"/>
      <c r="L378" s="49"/>
    </row>
    <row r="379" spans="3:12" x14ac:dyDescent="0.2">
      <c r="C379" s="49"/>
      <c r="D379" s="49"/>
      <c r="E379" s="49"/>
      <c r="F379" s="49"/>
      <c r="H379" s="49"/>
      <c r="I379" s="49"/>
      <c r="J379" s="49"/>
      <c r="K379" s="49"/>
      <c r="L379" s="49"/>
    </row>
    <row r="380" spans="3:12" x14ac:dyDescent="0.2">
      <c r="C380" s="49"/>
      <c r="D380" s="49"/>
      <c r="E380" s="49"/>
      <c r="F380" s="49"/>
      <c r="H380" s="49"/>
      <c r="I380" s="49"/>
      <c r="J380" s="49"/>
      <c r="K380" s="49"/>
      <c r="L380" s="49"/>
    </row>
    <row r="381" spans="3:12" x14ac:dyDescent="0.2">
      <c r="C381" s="49"/>
      <c r="D381" s="49"/>
      <c r="E381" s="49"/>
      <c r="F381" s="49"/>
      <c r="H381" s="49"/>
      <c r="I381" s="49"/>
      <c r="J381" s="49"/>
      <c r="K381" s="49"/>
      <c r="L381" s="49"/>
    </row>
    <row r="382" spans="3:12" x14ac:dyDescent="0.2">
      <c r="C382" s="49"/>
      <c r="D382" s="49"/>
      <c r="E382" s="49"/>
      <c r="F382" s="49"/>
      <c r="H382" s="49"/>
      <c r="I382" s="49"/>
      <c r="J382" s="49"/>
      <c r="K382" s="49"/>
      <c r="L382" s="49"/>
    </row>
    <row r="383" spans="3:12" x14ac:dyDescent="0.2">
      <c r="C383" s="49"/>
      <c r="D383" s="49"/>
      <c r="E383" s="49"/>
      <c r="F383" s="49"/>
      <c r="H383" s="49"/>
      <c r="I383" s="49"/>
      <c r="J383" s="49"/>
      <c r="K383" s="49"/>
      <c r="L383" s="49"/>
    </row>
    <row r="384" spans="3:12" x14ac:dyDescent="0.2">
      <c r="C384" s="49"/>
      <c r="D384" s="49"/>
      <c r="E384" s="49"/>
      <c r="F384" s="49"/>
      <c r="H384" s="49"/>
      <c r="I384" s="49"/>
      <c r="J384" s="49"/>
      <c r="K384" s="49"/>
      <c r="L384" s="49"/>
    </row>
    <row r="385" spans="3:12" x14ac:dyDescent="0.2">
      <c r="C385" s="49"/>
      <c r="D385" s="49"/>
      <c r="E385" s="49"/>
      <c r="F385" s="49"/>
      <c r="H385" s="49"/>
      <c r="I385" s="49"/>
      <c r="J385" s="49"/>
      <c r="K385" s="49"/>
      <c r="L385" s="49"/>
    </row>
    <row r="386" spans="3:12" x14ac:dyDescent="0.2">
      <c r="C386" s="49"/>
      <c r="D386" s="49"/>
      <c r="E386" s="49"/>
      <c r="F386" s="49"/>
      <c r="H386" s="49"/>
      <c r="I386" s="49"/>
      <c r="J386" s="49"/>
      <c r="K386" s="49"/>
      <c r="L386" s="49"/>
    </row>
    <row r="387" spans="3:12" x14ac:dyDescent="0.2">
      <c r="C387" s="49"/>
      <c r="D387" s="49"/>
      <c r="E387" s="49"/>
      <c r="F387" s="49"/>
      <c r="H387" s="49"/>
      <c r="I387" s="49"/>
      <c r="J387" s="49"/>
      <c r="K387" s="49"/>
      <c r="L387" s="49"/>
    </row>
    <row r="388" spans="3:12" x14ac:dyDescent="0.2">
      <c r="C388" s="49"/>
      <c r="D388" s="49"/>
      <c r="E388" s="49"/>
      <c r="F388" s="49"/>
      <c r="H388" s="49"/>
      <c r="I388" s="49"/>
      <c r="J388" s="49"/>
      <c r="K388" s="49"/>
      <c r="L388" s="49"/>
    </row>
    <row r="389" spans="3:12" x14ac:dyDescent="0.2">
      <c r="C389" s="49"/>
      <c r="D389" s="49"/>
      <c r="E389" s="49"/>
      <c r="F389" s="49"/>
      <c r="H389" s="49"/>
      <c r="I389" s="49"/>
      <c r="J389" s="49"/>
      <c r="K389" s="49"/>
      <c r="L389" s="49"/>
    </row>
    <row r="390" spans="3:12" x14ac:dyDescent="0.2">
      <c r="C390" s="49"/>
      <c r="D390" s="49"/>
      <c r="E390" s="49"/>
      <c r="F390" s="49"/>
      <c r="H390" s="49"/>
      <c r="I390" s="49"/>
      <c r="J390" s="49"/>
      <c r="K390" s="49"/>
      <c r="L390" s="49"/>
    </row>
    <row r="391" spans="3:12" x14ac:dyDescent="0.2">
      <c r="C391" s="49"/>
      <c r="D391" s="49"/>
      <c r="E391" s="49"/>
      <c r="F391" s="49"/>
      <c r="H391" s="49"/>
      <c r="I391" s="49"/>
      <c r="J391" s="49"/>
      <c r="K391" s="49"/>
      <c r="L391" s="49"/>
    </row>
    <row r="392" spans="3:12" x14ac:dyDescent="0.2">
      <c r="C392" s="49"/>
      <c r="D392" s="49"/>
      <c r="E392" s="49"/>
      <c r="F392" s="49"/>
      <c r="H392" s="49"/>
      <c r="I392" s="49"/>
      <c r="J392" s="49"/>
      <c r="K392" s="49"/>
      <c r="L392" s="49"/>
    </row>
    <row r="393" spans="3:12" x14ac:dyDescent="0.2">
      <c r="C393" s="49"/>
      <c r="D393" s="49"/>
      <c r="E393" s="49"/>
      <c r="F393" s="49"/>
      <c r="H393" s="49"/>
      <c r="I393" s="49"/>
      <c r="J393" s="49"/>
      <c r="K393" s="49"/>
      <c r="L393" s="49"/>
    </row>
    <row r="394" spans="3:12" x14ac:dyDescent="0.2">
      <c r="C394" s="49"/>
      <c r="D394" s="49"/>
      <c r="E394" s="49"/>
      <c r="F394" s="49"/>
      <c r="H394" s="49"/>
      <c r="I394" s="49"/>
      <c r="J394" s="49"/>
      <c r="K394" s="49"/>
      <c r="L394" s="49"/>
    </row>
    <row r="395" spans="3:12" x14ac:dyDescent="0.2">
      <c r="C395" s="49"/>
      <c r="D395" s="49"/>
      <c r="E395" s="49"/>
      <c r="F395" s="49"/>
      <c r="H395" s="49"/>
      <c r="I395" s="49"/>
      <c r="J395" s="49"/>
      <c r="K395" s="49"/>
      <c r="L395" s="49"/>
    </row>
    <row r="396" spans="3:12" x14ac:dyDescent="0.2">
      <c r="C396" s="49"/>
      <c r="D396" s="49"/>
      <c r="E396" s="49"/>
      <c r="F396" s="49"/>
      <c r="H396" s="49"/>
      <c r="I396" s="49"/>
      <c r="J396" s="49"/>
      <c r="K396" s="49"/>
      <c r="L396" s="49"/>
    </row>
    <row r="397" spans="3:12" x14ac:dyDescent="0.2">
      <c r="C397" s="49"/>
      <c r="D397" s="49"/>
      <c r="E397" s="49"/>
      <c r="F397" s="49"/>
      <c r="H397" s="49"/>
      <c r="I397" s="49"/>
      <c r="J397" s="49"/>
      <c r="K397" s="49"/>
      <c r="L397" s="49"/>
    </row>
    <row r="398" spans="3:12" x14ac:dyDescent="0.2">
      <c r="C398" s="49"/>
      <c r="D398" s="49"/>
      <c r="E398" s="49"/>
      <c r="F398" s="49"/>
      <c r="H398" s="49"/>
      <c r="I398" s="49"/>
      <c r="J398" s="49"/>
      <c r="K398" s="49"/>
      <c r="L398" s="49"/>
    </row>
    <row r="399" spans="3:12" x14ac:dyDescent="0.2">
      <c r="C399" s="49"/>
      <c r="D399" s="49"/>
      <c r="E399" s="49"/>
      <c r="F399" s="49"/>
      <c r="H399" s="49"/>
      <c r="I399" s="49"/>
      <c r="J399" s="49"/>
      <c r="K399" s="49"/>
      <c r="L399" s="49"/>
    </row>
    <row r="400" spans="3:12" x14ac:dyDescent="0.2">
      <c r="C400" s="49"/>
      <c r="D400" s="49"/>
      <c r="E400" s="49"/>
      <c r="F400" s="49"/>
      <c r="H400" s="49"/>
      <c r="I400" s="49"/>
      <c r="J400" s="49"/>
      <c r="K400" s="49"/>
      <c r="L400" s="49"/>
    </row>
    <row r="401" spans="3:12" x14ac:dyDescent="0.2">
      <c r="C401" s="49"/>
      <c r="D401" s="49"/>
      <c r="E401" s="49"/>
      <c r="F401" s="49"/>
      <c r="H401" s="49"/>
      <c r="I401" s="49"/>
      <c r="J401" s="49"/>
      <c r="K401" s="49"/>
      <c r="L401" s="49"/>
    </row>
    <row r="402" spans="3:12" x14ac:dyDescent="0.2">
      <c r="C402" s="49"/>
      <c r="D402" s="49"/>
      <c r="E402" s="49"/>
      <c r="F402" s="49"/>
      <c r="H402" s="49"/>
      <c r="I402" s="49"/>
      <c r="J402" s="49"/>
      <c r="K402" s="49"/>
      <c r="L402" s="49"/>
    </row>
    <row r="403" spans="3:12" x14ac:dyDescent="0.2">
      <c r="C403" s="49"/>
      <c r="D403" s="49"/>
      <c r="E403" s="49"/>
      <c r="F403" s="49"/>
      <c r="H403" s="49"/>
      <c r="I403" s="49"/>
      <c r="J403" s="49"/>
      <c r="K403" s="49"/>
      <c r="L403" s="49"/>
    </row>
    <row r="404" spans="3:12" x14ac:dyDescent="0.2">
      <c r="C404" s="49"/>
      <c r="D404" s="49"/>
      <c r="E404" s="49"/>
      <c r="F404" s="49"/>
      <c r="H404" s="49"/>
      <c r="I404" s="49"/>
      <c r="J404" s="49"/>
      <c r="K404" s="49"/>
      <c r="L404" s="49"/>
    </row>
    <row r="405" spans="3:12" x14ac:dyDescent="0.2">
      <c r="C405" s="49"/>
      <c r="D405" s="49"/>
      <c r="E405" s="49"/>
      <c r="F405" s="49"/>
      <c r="H405" s="49"/>
      <c r="I405" s="49"/>
      <c r="J405" s="49"/>
      <c r="K405" s="49"/>
      <c r="L405" s="49"/>
    </row>
    <row r="406" spans="3:12" x14ac:dyDescent="0.2">
      <c r="C406" s="49"/>
      <c r="D406" s="49"/>
      <c r="E406" s="49"/>
      <c r="F406" s="49"/>
      <c r="H406" s="49"/>
      <c r="I406" s="49"/>
      <c r="J406" s="49"/>
      <c r="K406" s="49"/>
      <c r="L406" s="49"/>
    </row>
    <row r="407" spans="3:12" x14ac:dyDescent="0.2">
      <c r="C407" s="49"/>
      <c r="D407" s="49"/>
      <c r="E407" s="49"/>
      <c r="F407" s="49"/>
      <c r="H407" s="49"/>
      <c r="I407" s="49"/>
      <c r="J407" s="49"/>
      <c r="K407" s="49"/>
      <c r="L407" s="49"/>
    </row>
    <row r="408" spans="3:12" x14ac:dyDescent="0.2">
      <c r="C408" s="49"/>
      <c r="D408" s="49"/>
      <c r="E408" s="49"/>
      <c r="F408" s="49"/>
      <c r="H408" s="49"/>
      <c r="I408" s="49"/>
      <c r="J408" s="49"/>
      <c r="K408" s="49"/>
      <c r="L408" s="49"/>
    </row>
    <row r="409" spans="3:12" x14ac:dyDescent="0.2">
      <c r="C409" s="49"/>
      <c r="D409" s="49"/>
      <c r="E409" s="49"/>
      <c r="F409" s="49"/>
      <c r="H409" s="49"/>
      <c r="I409" s="49"/>
      <c r="J409" s="49"/>
      <c r="K409" s="49"/>
      <c r="L409" s="49"/>
    </row>
    <row r="410" spans="3:12" x14ac:dyDescent="0.2">
      <c r="C410" s="49"/>
      <c r="D410" s="49"/>
      <c r="E410" s="49"/>
      <c r="F410" s="49"/>
      <c r="H410" s="49"/>
      <c r="I410" s="49"/>
      <c r="J410" s="49"/>
      <c r="K410" s="49"/>
      <c r="L410" s="49"/>
    </row>
    <row r="411" spans="3:12" x14ac:dyDescent="0.2">
      <c r="C411" s="49"/>
      <c r="D411" s="49"/>
      <c r="E411" s="49"/>
      <c r="F411" s="49"/>
      <c r="H411" s="49"/>
      <c r="I411" s="49"/>
      <c r="J411" s="49"/>
      <c r="K411" s="49"/>
      <c r="L411" s="49"/>
    </row>
    <row r="412" spans="3:12" x14ac:dyDescent="0.2">
      <c r="C412" s="49"/>
      <c r="D412" s="49"/>
      <c r="E412" s="49"/>
      <c r="F412" s="49"/>
      <c r="H412" s="49"/>
      <c r="I412" s="49"/>
      <c r="J412" s="49"/>
      <c r="K412" s="49"/>
      <c r="L412" s="49"/>
    </row>
    <row r="413" spans="3:12" x14ac:dyDescent="0.2">
      <c r="C413" s="49"/>
      <c r="D413" s="49"/>
      <c r="E413" s="49"/>
      <c r="F413" s="49"/>
      <c r="H413" s="49"/>
      <c r="I413" s="49"/>
      <c r="J413" s="49"/>
      <c r="K413" s="49"/>
      <c r="L413" s="49"/>
    </row>
    <row r="414" spans="3:12" x14ac:dyDescent="0.2">
      <c r="C414" s="49"/>
      <c r="D414" s="49"/>
      <c r="E414" s="49"/>
      <c r="F414" s="49"/>
      <c r="H414" s="49"/>
      <c r="I414" s="49"/>
      <c r="J414" s="49"/>
      <c r="K414" s="49"/>
      <c r="L414" s="49"/>
    </row>
    <row r="415" spans="3:12" x14ac:dyDescent="0.2">
      <c r="C415" s="49"/>
      <c r="D415" s="49"/>
      <c r="E415" s="49"/>
      <c r="F415" s="49"/>
      <c r="H415" s="49"/>
      <c r="I415" s="49"/>
      <c r="J415" s="49"/>
      <c r="K415" s="49"/>
      <c r="L415" s="49"/>
    </row>
    <row r="416" spans="3:12" x14ac:dyDescent="0.2">
      <c r="C416" s="49"/>
      <c r="D416" s="49"/>
      <c r="E416" s="49"/>
      <c r="F416" s="49"/>
      <c r="H416" s="49"/>
      <c r="I416" s="49"/>
      <c r="J416" s="49"/>
      <c r="K416" s="49"/>
      <c r="L416" s="49"/>
    </row>
    <row r="417" spans="3:12" x14ac:dyDescent="0.2">
      <c r="C417" s="49"/>
      <c r="D417" s="49"/>
      <c r="E417" s="49"/>
      <c r="F417" s="49"/>
      <c r="H417" s="49"/>
      <c r="I417" s="49"/>
      <c r="J417" s="49"/>
      <c r="K417" s="49"/>
      <c r="L417" s="49"/>
    </row>
    <row r="418" spans="3:12" x14ac:dyDescent="0.2">
      <c r="C418" s="49"/>
      <c r="D418" s="49"/>
      <c r="E418" s="49"/>
      <c r="F418" s="49"/>
      <c r="H418" s="49"/>
      <c r="I418" s="49"/>
      <c r="J418" s="49"/>
      <c r="K418" s="49"/>
      <c r="L418" s="49"/>
    </row>
    <row r="419" spans="3:12" x14ac:dyDescent="0.2">
      <c r="C419" s="49"/>
      <c r="D419" s="49"/>
      <c r="E419" s="49"/>
      <c r="F419" s="49"/>
      <c r="H419" s="49"/>
      <c r="I419" s="49"/>
      <c r="J419" s="49"/>
      <c r="K419" s="49"/>
      <c r="L419" s="49"/>
    </row>
    <row r="420" spans="3:12" x14ac:dyDescent="0.2">
      <c r="C420" s="49"/>
      <c r="D420" s="49"/>
      <c r="E420" s="49"/>
      <c r="F420" s="49"/>
      <c r="H420" s="49"/>
      <c r="I420" s="49"/>
      <c r="J420" s="49"/>
      <c r="K420" s="49"/>
      <c r="L420" s="49"/>
    </row>
    <row r="421" spans="3:12" x14ac:dyDescent="0.2">
      <c r="C421" s="49"/>
      <c r="D421" s="49"/>
      <c r="E421" s="49"/>
      <c r="F421" s="49"/>
      <c r="H421" s="49"/>
      <c r="I421" s="49"/>
      <c r="J421" s="49"/>
      <c r="K421" s="49"/>
      <c r="L421" s="49"/>
    </row>
    <row r="422" spans="3:12" x14ac:dyDescent="0.2">
      <c r="C422" s="49"/>
      <c r="D422" s="49"/>
      <c r="E422" s="49"/>
      <c r="F422" s="49"/>
      <c r="H422" s="49"/>
      <c r="I422" s="49"/>
      <c r="J422" s="49"/>
      <c r="K422" s="49"/>
      <c r="L422" s="49"/>
    </row>
    <row r="423" spans="3:12" x14ac:dyDescent="0.2">
      <c r="C423" s="49"/>
      <c r="D423" s="49"/>
      <c r="E423" s="49"/>
      <c r="F423" s="49"/>
      <c r="H423" s="49"/>
      <c r="I423" s="49"/>
      <c r="J423" s="49"/>
      <c r="K423" s="49"/>
      <c r="L423" s="49"/>
    </row>
    <row r="424" spans="3:12" x14ac:dyDescent="0.2">
      <c r="C424" s="49"/>
      <c r="D424" s="49"/>
      <c r="E424" s="49"/>
      <c r="F424" s="49"/>
      <c r="H424" s="49"/>
      <c r="I424" s="49"/>
      <c r="J424" s="49"/>
      <c r="K424" s="49"/>
      <c r="L424" s="49"/>
    </row>
    <row r="425" spans="3:12" x14ac:dyDescent="0.2">
      <c r="C425" s="49"/>
      <c r="D425" s="49"/>
      <c r="E425" s="49"/>
      <c r="F425" s="49"/>
      <c r="H425" s="49"/>
      <c r="I425" s="49"/>
      <c r="J425" s="49"/>
      <c r="K425" s="49"/>
      <c r="L425" s="49"/>
    </row>
    <row r="426" spans="3:12" x14ac:dyDescent="0.2">
      <c r="C426" s="49"/>
      <c r="D426" s="49"/>
      <c r="E426" s="49"/>
      <c r="F426" s="49"/>
      <c r="H426" s="49"/>
      <c r="I426" s="49"/>
      <c r="J426" s="49"/>
      <c r="K426" s="49"/>
      <c r="L426" s="49"/>
    </row>
    <row r="427" spans="3:12" x14ac:dyDescent="0.2">
      <c r="C427" s="49"/>
      <c r="D427" s="49"/>
      <c r="E427" s="49"/>
      <c r="F427" s="49"/>
      <c r="H427" s="49"/>
      <c r="I427" s="49"/>
      <c r="J427" s="49"/>
      <c r="K427" s="49"/>
      <c r="L427" s="49"/>
    </row>
    <row r="428" spans="3:12" x14ac:dyDescent="0.2">
      <c r="C428" s="49"/>
      <c r="D428" s="49"/>
      <c r="E428" s="49"/>
      <c r="F428" s="49"/>
      <c r="H428" s="49"/>
      <c r="I428" s="49"/>
      <c r="J428" s="49"/>
      <c r="K428" s="49"/>
      <c r="L428" s="49"/>
    </row>
    <row r="429" spans="3:12" x14ac:dyDescent="0.2">
      <c r="C429" s="49"/>
      <c r="D429" s="49"/>
      <c r="E429" s="49"/>
      <c r="F429" s="49"/>
      <c r="H429" s="49"/>
      <c r="I429" s="49"/>
      <c r="J429" s="49"/>
      <c r="K429" s="49"/>
      <c r="L429" s="49"/>
    </row>
    <row r="430" spans="3:12" x14ac:dyDescent="0.2">
      <c r="C430" s="49"/>
      <c r="D430" s="49"/>
      <c r="E430" s="49"/>
      <c r="F430" s="49"/>
      <c r="H430" s="49"/>
      <c r="I430" s="49"/>
      <c r="J430" s="49"/>
      <c r="K430" s="49"/>
      <c r="L430" s="49"/>
    </row>
    <row r="431" spans="3:12" x14ac:dyDescent="0.2">
      <c r="C431" s="49"/>
      <c r="D431" s="49"/>
      <c r="E431" s="49"/>
      <c r="F431" s="49"/>
      <c r="H431" s="49"/>
      <c r="I431" s="49"/>
      <c r="J431" s="49"/>
      <c r="K431" s="49"/>
      <c r="L431" s="49"/>
    </row>
    <row r="432" spans="3:12" x14ac:dyDescent="0.2">
      <c r="C432" s="49"/>
      <c r="D432" s="49"/>
      <c r="E432" s="49"/>
      <c r="F432" s="49"/>
      <c r="H432" s="49"/>
      <c r="I432" s="49"/>
      <c r="J432" s="49"/>
      <c r="K432" s="49"/>
      <c r="L432" s="49"/>
    </row>
    <row r="433" spans="3:12" x14ac:dyDescent="0.2">
      <c r="C433" s="49"/>
      <c r="D433" s="49"/>
      <c r="E433" s="49"/>
      <c r="F433" s="49"/>
      <c r="H433" s="49"/>
      <c r="I433" s="49"/>
      <c r="J433" s="49"/>
      <c r="K433" s="49"/>
      <c r="L433" s="49"/>
    </row>
    <row r="434" spans="3:12" x14ac:dyDescent="0.2">
      <c r="C434" s="49"/>
      <c r="D434" s="49"/>
      <c r="E434" s="49"/>
      <c r="F434" s="49"/>
      <c r="H434" s="49"/>
      <c r="I434" s="49"/>
      <c r="J434" s="49"/>
      <c r="K434" s="49"/>
      <c r="L434" s="49"/>
    </row>
    <row r="435" spans="3:12" x14ac:dyDescent="0.2">
      <c r="C435" s="49"/>
      <c r="D435" s="49"/>
      <c r="E435" s="49"/>
      <c r="F435" s="49"/>
      <c r="H435" s="49"/>
      <c r="I435" s="49"/>
      <c r="J435" s="49"/>
      <c r="K435" s="49"/>
      <c r="L435" s="49"/>
    </row>
    <row r="436" spans="3:12" x14ac:dyDescent="0.2">
      <c r="C436" s="49"/>
      <c r="D436" s="49"/>
      <c r="E436" s="49"/>
      <c r="F436" s="49"/>
      <c r="H436" s="49"/>
      <c r="I436" s="49"/>
      <c r="J436" s="49"/>
      <c r="K436" s="49"/>
      <c r="L436" s="49"/>
    </row>
    <row r="437" spans="3:12" x14ac:dyDescent="0.2">
      <c r="C437" s="49"/>
      <c r="D437" s="49"/>
      <c r="E437" s="49"/>
      <c r="F437" s="49"/>
      <c r="H437" s="49"/>
      <c r="I437" s="49"/>
      <c r="J437" s="49"/>
      <c r="K437" s="49"/>
      <c r="L437" s="49"/>
    </row>
    <row r="438" spans="3:12" x14ac:dyDescent="0.2">
      <c r="C438" s="49"/>
      <c r="D438" s="49"/>
      <c r="E438" s="49"/>
      <c r="F438" s="49"/>
      <c r="H438" s="49"/>
      <c r="I438" s="49"/>
      <c r="J438" s="49"/>
      <c r="K438" s="49"/>
      <c r="L438" s="49"/>
    </row>
    <row r="439" spans="3:12" x14ac:dyDescent="0.2">
      <c r="C439" s="49"/>
      <c r="D439" s="49"/>
      <c r="E439" s="49"/>
      <c r="F439" s="49"/>
      <c r="H439" s="49"/>
      <c r="I439" s="49"/>
      <c r="J439" s="49"/>
      <c r="K439" s="49"/>
      <c r="L439" s="49"/>
    </row>
    <row r="440" spans="3:12" x14ac:dyDescent="0.2">
      <c r="C440" s="49"/>
      <c r="D440" s="49"/>
      <c r="E440" s="49"/>
      <c r="F440" s="49"/>
      <c r="H440" s="49"/>
      <c r="I440" s="49"/>
      <c r="J440" s="49"/>
      <c r="K440" s="49"/>
      <c r="L440" s="49"/>
    </row>
    <row r="441" spans="3:12" x14ac:dyDescent="0.2">
      <c r="C441" s="49"/>
      <c r="D441" s="49"/>
      <c r="E441" s="49"/>
      <c r="F441" s="49"/>
      <c r="H441" s="49"/>
      <c r="I441" s="49"/>
      <c r="J441" s="49"/>
      <c r="K441" s="49"/>
      <c r="L441" s="49"/>
    </row>
    <row r="442" spans="3:12" x14ac:dyDescent="0.2">
      <c r="C442" s="49"/>
      <c r="D442" s="49"/>
      <c r="E442" s="49"/>
      <c r="F442" s="49"/>
      <c r="H442" s="49"/>
      <c r="I442" s="49"/>
      <c r="J442" s="49"/>
      <c r="K442" s="49"/>
      <c r="L442" s="49"/>
    </row>
    <row r="443" spans="3:12" x14ac:dyDescent="0.2">
      <c r="C443" s="49"/>
      <c r="D443" s="49"/>
      <c r="E443" s="49"/>
      <c r="F443" s="49"/>
      <c r="H443" s="49"/>
      <c r="I443" s="49"/>
      <c r="J443" s="49"/>
      <c r="K443" s="49"/>
      <c r="L443" s="49"/>
    </row>
    <row r="444" spans="3:12" x14ac:dyDescent="0.2">
      <c r="C444" s="49"/>
      <c r="D444" s="49"/>
      <c r="E444" s="49"/>
      <c r="F444" s="49"/>
      <c r="H444" s="49"/>
      <c r="I444" s="49"/>
      <c r="J444" s="49"/>
      <c r="K444" s="49"/>
      <c r="L444" s="49"/>
    </row>
    <row r="445" spans="3:12" x14ac:dyDescent="0.2">
      <c r="C445" s="49"/>
      <c r="D445" s="49"/>
      <c r="E445" s="49"/>
      <c r="F445" s="49"/>
      <c r="H445" s="49"/>
      <c r="I445" s="49"/>
      <c r="J445" s="49"/>
      <c r="K445" s="49"/>
      <c r="L445" s="49"/>
    </row>
    <row r="446" spans="3:12" x14ac:dyDescent="0.2">
      <c r="C446" s="49"/>
      <c r="D446" s="49"/>
      <c r="E446" s="49"/>
      <c r="F446" s="49"/>
      <c r="H446" s="49"/>
      <c r="I446" s="49"/>
      <c r="J446" s="49"/>
      <c r="K446" s="49"/>
      <c r="L446" s="49"/>
    </row>
    <row r="447" spans="3:12" x14ac:dyDescent="0.2">
      <c r="C447" s="49"/>
      <c r="D447" s="49"/>
      <c r="E447" s="49"/>
      <c r="F447" s="49"/>
      <c r="H447" s="49"/>
      <c r="I447" s="49"/>
      <c r="J447" s="49"/>
      <c r="K447" s="49"/>
      <c r="L447" s="49"/>
    </row>
    <row r="448" spans="3:12" x14ac:dyDescent="0.2">
      <c r="C448" s="49"/>
      <c r="D448" s="49"/>
      <c r="E448" s="49"/>
      <c r="F448" s="49"/>
      <c r="H448" s="49"/>
      <c r="I448" s="49"/>
      <c r="J448" s="49"/>
      <c r="K448" s="49"/>
      <c r="L448" s="49"/>
    </row>
    <row r="449" spans="3:12" x14ac:dyDescent="0.2">
      <c r="C449" s="49"/>
      <c r="D449" s="49"/>
      <c r="E449" s="49"/>
      <c r="F449" s="49"/>
      <c r="H449" s="49"/>
      <c r="I449" s="49"/>
      <c r="J449" s="49"/>
      <c r="K449" s="49"/>
      <c r="L449" s="49"/>
    </row>
    <row r="450" spans="3:12" x14ac:dyDescent="0.2">
      <c r="C450" s="49"/>
      <c r="D450" s="49"/>
      <c r="E450" s="49"/>
      <c r="F450" s="49"/>
      <c r="H450" s="49"/>
      <c r="I450" s="49"/>
      <c r="J450" s="49"/>
      <c r="K450" s="49"/>
      <c r="L450" s="49"/>
    </row>
    <row r="451" spans="3:12" x14ac:dyDescent="0.2">
      <c r="C451" s="49"/>
      <c r="D451" s="49"/>
      <c r="E451" s="49"/>
      <c r="F451" s="49"/>
      <c r="H451" s="49"/>
      <c r="I451" s="49"/>
      <c r="J451" s="49"/>
      <c r="K451" s="49"/>
      <c r="L451" s="49"/>
    </row>
    <row r="452" spans="3:12" x14ac:dyDescent="0.2">
      <c r="C452" s="49"/>
      <c r="D452" s="49"/>
      <c r="E452" s="49"/>
      <c r="F452" s="49"/>
      <c r="H452" s="49"/>
      <c r="I452" s="49"/>
      <c r="J452" s="49"/>
      <c r="K452" s="49"/>
      <c r="L452" s="49"/>
    </row>
    <row r="453" spans="3:12" x14ac:dyDescent="0.2">
      <c r="C453" s="49"/>
      <c r="D453" s="49"/>
      <c r="E453" s="49"/>
      <c r="F453" s="49"/>
      <c r="H453" s="49"/>
      <c r="I453" s="49"/>
      <c r="J453" s="49"/>
      <c r="K453" s="49"/>
      <c r="L453" s="49"/>
    </row>
    <row r="454" spans="3:12" x14ac:dyDescent="0.2">
      <c r="C454" s="49"/>
      <c r="D454" s="49"/>
      <c r="E454" s="49"/>
      <c r="F454" s="49"/>
      <c r="H454" s="49"/>
      <c r="I454" s="49"/>
      <c r="J454" s="49"/>
      <c r="K454" s="49"/>
      <c r="L454" s="49"/>
    </row>
    <row r="455" spans="3:12" x14ac:dyDescent="0.2">
      <c r="C455" s="49"/>
      <c r="D455" s="49"/>
      <c r="E455" s="49"/>
      <c r="F455" s="49"/>
      <c r="H455" s="49"/>
      <c r="I455" s="49"/>
      <c r="J455" s="49"/>
      <c r="K455" s="49"/>
      <c r="L455" s="49"/>
    </row>
    <row r="456" spans="3:12" x14ac:dyDescent="0.2">
      <c r="C456" s="49"/>
      <c r="D456" s="49"/>
      <c r="E456" s="49"/>
      <c r="F456" s="49"/>
      <c r="H456" s="49"/>
      <c r="I456" s="49"/>
      <c r="J456" s="49"/>
      <c r="K456" s="49"/>
      <c r="L456" s="49"/>
    </row>
    <row r="457" spans="3:12" x14ac:dyDescent="0.2">
      <c r="C457" s="49"/>
      <c r="D457" s="49"/>
      <c r="E457" s="49"/>
      <c r="F457" s="49"/>
      <c r="H457" s="49"/>
      <c r="I457" s="49"/>
      <c r="J457" s="49"/>
      <c r="K457" s="49"/>
      <c r="L457" s="49"/>
    </row>
    <row r="458" spans="3:12" x14ac:dyDescent="0.2">
      <c r="C458" s="49"/>
      <c r="D458" s="49"/>
      <c r="E458" s="49"/>
      <c r="F458" s="49"/>
      <c r="H458" s="49"/>
      <c r="I458" s="49"/>
      <c r="J458" s="49"/>
      <c r="K458" s="49"/>
      <c r="L458" s="49"/>
    </row>
    <row r="459" spans="3:12" x14ac:dyDescent="0.2">
      <c r="C459" s="49"/>
      <c r="D459" s="49"/>
      <c r="E459" s="49"/>
      <c r="F459" s="49"/>
      <c r="H459" s="49"/>
      <c r="I459" s="49"/>
      <c r="J459" s="49"/>
      <c r="K459" s="49"/>
      <c r="L459" s="49"/>
    </row>
    <row r="460" spans="3:12" x14ac:dyDescent="0.2">
      <c r="C460" s="49"/>
      <c r="D460" s="49"/>
      <c r="E460" s="49"/>
      <c r="F460" s="49"/>
      <c r="H460" s="49"/>
      <c r="I460" s="49"/>
      <c r="J460" s="49"/>
      <c r="K460" s="49"/>
      <c r="L460" s="49"/>
    </row>
    <row r="461" spans="3:12" x14ac:dyDescent="0.2">
      <c r="C461" s="49"/>
      <c r="D461" s="49"/>
      <c r="E461" s="49"/>
      <c r="F461" s="49"/>
      <c r="H461" s="49"/>
      <c r="I461" s="49"/>
      <c r="J461" s="49"/>
      <c r="K461" s="49"/>
      <c r="L461" s="49"/>
    </row>
    <row r="462" spans="3:12" x14ac:dyDescent="0.2">
      <c r="C462" s="49"/>
      <c r="D462" s="49"/>
      <c r="E462" s="49"/>
      <c r="F462" s="49"/>
      <c r="H462" s="49"/>
      <c r="I462" s="49"/>
      <c r="J462" s="49"/>
      <c r="K462" s="49"/>
      <c r="L462" s="49"/>
    </row>
    <row r="463" spans="3:12" x14ac:dyDescent="0.2">
      <c r="C463" s="49"/>
      <c r="D463" s="49"/>
      <c r="E463" s="49"/>
      <c r="F463" s="49"/>
      <c r="H463" s="49"/>
      <c r="I463" s="49"/>
      <c r="J463" s="49"/>
      <c r="K463" s="49"/>
      <c r="L463" s="49"/>
    </row>
    <row r="464" spans="3:12" x14ac:dyDescent="0.2">
      <c r="C464" s="49"/>
      <c r="D464" s="49"/>
      <c r="E464" s="49"/>
      <c r="F464" s="49"/>
      <c r="H464" s="49"/>
      <c r="I464" s="49"/>
      <c r="J464" s="49"/>
      <c r="K464" s="49"/>
      <c r="L464" s="49"/>
    </row>
    <row r="465" spans="3:12" x14ac:dyDescent="0.2">
      <c r="C465" s="49"/>
      <c r="D465" s="49"/>
      <c r="E465" s="49"/>
      <c r="F465" s="49"/>
      <c r="H465" s="49"/>
      <c r="I465" s="49"/>
      <c r="J465" s="49"/>
      <c r="K465" s="49"/>
      <c r="L465" s="49"/>
    </row>
    <row r="466" spans="3:12" x14ac:dyDescent="0.2">
      <c r="C466" s="49"/>
      <c r="D466" s="49"/>
      <c r="E466" s="49"/>
      <c r="F466" s="49"/>
      <c r="H466" s="49"/>
      <c r="I466" s="49"/>
      <c r="J466" s="49"/>
      <c r="K466" s="49"/>
      <c r="L466" s="49"/>
    </row>
    <row r="467" spans="3:12" x14ac:dyDescent="0.2">
      <c r="C467" s="49"/>
      <c r="D467" s="49"/>
      <c r="E467" s="49"/>
      <c r="F467" s="49"/>
      <c r="H467" s="49"/>
      <c r="I467" s="49"/>
      <c r="J467" s="49"/>
      <c r="K467" s="49"/>
      <c r="L467" s="49"/>
    </row>
    <row r="468" spans="3:12" x14ac:dyDescent="0.2">
      <c r="C468" s="49"/>
      <c r="D468" s="49"/>
      <c r="E468" s="49"/>
      <c r="F468" s="49"/>
      <c r="H468" s="49"/>
      <c r="I468" s="49"/>
      <c r="J468" s="49"/>
      <c r="K468" s="49"/>
      <c r="L468" s="49"/>
    </row>
    <row r="469" spans="3:12" x14ac:dyDescent="0.2">
      <c r="C469" s="49"/>
      <c r="D469" s="49"/>
      <c r="E469" s="49"/>
      <c r="F469" s="49"/>
      <c r="H469" s="49"/>
      <c r="I469" s="49"/>
      <c r="J469" s="49"/>
      <c r="K469" s="49"/>
      <c r="L469" s="49"/>
    </row>
    <row r="470" spans="3:12" x14ac:dyDescent="0.2">
      <c r="C470" s="49"/>
      <c r="D470" s="49"/>
      <c r="E470" s="49"/>
      <c r="F470" s="49"/>
      <c r="H470" s="49"/>
      <c r="I470" s="49"/>
      <c r="J470" s="49"/>
      <c r="K470" s="49"/>
      <c r="L470" s="49"/>
    </row>
    <row r="471" spans="3:12" x14ac:dyDescent="0.2">
      <c r="C471" s="49"/>
      <c r="D471" s="49"/>
      <c r="E471" s="49"/>
      <c r="F471" s="49"/>
      <c r="H471" s="49"/>
      <c r="I471" s="49"/>
      <c r="J471" s="49"/>
      <c r="K471" s="49"/>
      <c r="L471" s="49"/>
    </row>
    <row r="472" spans="3:12" x14ac:dyDescent="0.2">
      <c r="C472" s="49"/>
      <c r="D472" s="49"/>
      <c r="E472" s="49"/>
      <c r="F472" s="49"/>
      <c r="H472" s="49"/>
      <c r="I472" s="49"/>
      <c r="J472" s="49"/>
      <c r="K472" s="49"/>
      <c r="L472" s="49"/>
    </row>
    <row r="473" spans="3:12" x14ac:dyDescent="0.2">
      <c r="C473" s="49"/>
      <c r="D473" s="49"/>
      <c r="E473" s="49"/>
      <c r="F473" s="49"/>
      <c r="H473" s="49"/>
      <c r="I473" s="49"/>
      <c r="J473" s="49"/>
      <c r="K473" s="49"/>
      <c r="L473" s="49"/>
    </row>
    <row r="474" spans="3:12" x14ac:dyDescent="0.2">
      <c r="C474" s="49"/>
      <c r="D474" s="49"/>
      <c r="E474" s="49"/>
      <c r="F474" s="49"/>
      <c r="H474" s="49"/>
      <c r="I474" s="49"/>
      <c r="J474" s="49"/>
      <c r="K474" s="49"/>
      <c r="L474" s="49"/>
    </row>
    <row r="475" spans="3:12" x14ac:dyDescent="0.2">
      <c r="C475" s="49"/>
      <c r="D475" s="49"/>
      <c r="E475" s="49"/>
      <c r="F475" s="49"/>
      <c r="H475" s="49"/>
      <c r="I475" s="49"/>
      <c r="J475" s="49"/>
      <c r="K475" s="49"/>
      <c r="L475" s="49"/>
    </row>
    <row r="476" spans="3:12" x14ac:dyDescent="0.2">
      <c r="C476" s="49"/>
      <c r="D476" s="49"/>
      <c r="E476" s="49"/>
      <c r="F476" s="49"/>
      <c r="H476" s="49"/>
      <c r="I476" s="49"/>
      <c r="J476" s="49"/>
      <c r="K476" s="49"/>
      <c r="L476" s="49"/>
    </row>
    <row r="477" spans="3:12" x14ac:dyDescent="0.2">
      <c r="C477" s="49"/>
      <c r="D477" s="49"/>
      <c r="E477" s="49"/>
      <c r="F477" s="49"/>
      <c r="H477" s="49"/>
      <c r="I477" s="49"/>
      <c r="J477" s="49"/>
      <c r="K477" s="49"/>
      <c r="L477" s="49"/>
    </row>
    <row r="478" spans="3:12" x14ac:dyDescent="0.2">
      <c r="C478" s="49"/>
      <c r="D478" s="49"/>
      <c r="E478" s="49"/>
      <c r="F478" s="49"/>
      <c r="H478" s="49"/>
      <c r="I478" s="49"/>
      <c r="J478" s="49"/>
      <c r="K478" s="49"/>
      <c r="L478" s="49"/>
    </row>
    <row r="479" spans="3:12" x14ac:dyDescent="0.2">
      <c r="C479" s="49"/>
      <c r="D479" s="49"/>
      <c r="E479" s="49"/>
      <c r="F479" s="49"/>
      <c r="H479" s="49"/>
      <c r="I479" s="49"/>
      <c r="J479" s="49"/>
      <c r="K479" s="49"/>
      <c r="L479" s="49"/>
    </row>
    <row r="480" spans="3:12" x14ac:dyDescent="0.2">
      <c r="C480" s="49"/>
      <c r="D480" s="49"/>
      <c r="E480" s="49"/>
      <c r="F480" s="49"/>
      <c r="H480" s="49"/>
      <c r="I480" s="49"/>
      <c r="J480" s="49"/>
      <c r="K480" s="49"/>
      <c r="L480" s="49"/>
    </row>
    <row r="481" spans="3:12" x14ac:dyDescent="0.2">
      <c r="C481" s="49"/>
      <c r="D481" s="49"/>
      <c r="E481" s="49"/>
      <c r="F481" s="49"/>
      <c r="H481" s="49"/>
      <c r="I481" s="49"/>
      <c r="J481" s="49"/>
      <c r="K481" s="49"/>
      <c r="L481" s="49"/>
    </row>
    <row r="482" spans="3:12" x14ac:dyDescent="0.2">
      <c r="C482" s="49"/>
      <c r="D482" s="49"/>
      <c r="E482" s="49"/>
      <c r="F482" s="49"/>
      <c r="H482" s="49"/>
      <c r="I482" s="49"/>
      <c r="J482" s="49"/>
      <c r="K482" s="49"/>
      <c r="L482" s="49"/>
    </row>
    <row r="483" spans="3:12" x14ac:dyDescent="0.2">
      <c r="C483" s="49"/>
      <c r="D483" s="49"/>
      <c r="E483" s="49"/>
      <c r="F483" s="49"/>
      <c r="H483" s="49"/>
      <c r="I483" s="49"/>
      <c r="J483" s="49"/>
      <c r="K483" s="49"/>
      <c r="L483" s="49"/>
    </row>
    <row r="484" spans="3:12" x14ac:dyDescent="0.2">
      <c r="C484" s="49"/>
      <c r="D484" s="49"/>
      <c r="E484" s="49"/>
      <c r="F484" s="49"/>
      <c r="H484" s="49"/>
      <c r="I484" s="49"/>
      <c r="J484" s="49"/>
      <c r="K484" s="49"/>
      <c r="L484" s="49"/>
    </row>
    <row r="485" spans="3:12" x14ac:dyDescent="0.2">
      <c r="C485" s="49"/>
      <c r="D485" s="49"/>
      <c r="E485" s="49"/>
      <c r="F485" s="49"/>
      <c r="H485" s="49"/>
      <c r="I485" s="49"/>
      <c r="J485" s="49"/>
      <c r="K485" s="49"/>
      <c r="L485" s="49"/>
    </row>
    <row r="486" spans="3:12" x14ac:dyDescent="0.2">
      <c r="C486" s="49"/>
      <c r="D486" s="49"/>
      <c r="E486" s="49"/>
      <c r="F486" s="49"/>
      <c r="H486" s="49"/>
      <c r="I486" s="49"/>
      <c r="J486" s="49"/>
      <c r="K486" s="49"/>
      <c r="L486" s="49"/>
    </row>
    <row r="487" spans="3:12" x14ac:dyDescent="0.2">
      <c r="C487" s="49"/>
      <c r="D487" s="49"/>
      <c r="E487" s="49"/>
      <c r="F487" s="49"/>
      <c r="H487" s="49"/>
      <c r="I487" s="49"/>
      <c r="J487" s="49"/>
      <c r="K487" s="49"/>
      <c r="L487" s="49"/>
    </row>
    <row r="488" spans="3:12" x14ac:dyDescent="0.2">
      <c r="C488" s="49"/>
      <c r="D488" s="49"/>
      <c r="E488" s="49"/>
      <c r="F488" s="49"/>
      <c r="H488" s="49"/>
      <c r="I488" s="49"/>
      <c r="J488" s="49"/>
      <c r="K488" s="49"/>
      <c r="L488" s="49"/>
    </row>
    <row r="489" spans="3:12" x14ac:dyDescent="0.2">
      <c r="C489" s="49"/>
      <c r="D489" s="49"/>
      <c r="E489" s="49"/>
      <c r="F489" s="49"/>
      <c r="H489" s="49"/>
      <c r="I489" s="49"/>
      <c r="J489" s="49"/>
      <c r="K489" s="49"/>
      <c r="L489" s="49"/>
    </row>
    <row r="490" spans="3:12" x14ac:dyDescent="0.2">
      <c r="C490" s="49"/>
      <c r="D490" s="49"/>
      <c r="E490" s="49"/>
      <c r="F490" s="49"/>
      <c r="H490" s="49"/>
      <c r="I490" s="49"/>
      <c r="J490" s="49"/>
      <c r="K490" s="49"/>
      <c r="L490" s="49"/>
    </row>
    <row r="491" spans="3:12" x14ac:dyDescent="0.2">
      <c r="C491" s="49"/>
      <c r="D491" s="49"/>
      <c r="E491" s="49"/>
      <c r="F491" s="49"/>
      <c r="H491" s="49"/>
      <c r="I491" s="49"/>
      <c r="J491" s="49"/>
      <c r="K491" s="49"/>
      <c r="L491" s="49"/>
    </row>
    <row r="492" spans="3:12" x14ac:dyDescent="0.2">
      <c r="C492" s="49"/>
      <c r="D492" s="49"/>
      <c r="E492" s="49"/>
      <c r="F492" s="49"/>
      <c r="H492" s="49"/>
      <c r="I492" s="49"/>
      <c r="J492" s="49"/>
      <c r="K492" s="49"/>
      <c r="L492" s="49"/>
    </row>
    <row r="493" spans="3:12" x14ac:dyDescent="0.2">
      <c r="C493" s="49"/>
      <c r="D493" s="49"/>
      <c r="E493" s="49"/>
      <c r="F493" s="49"/>
      <c r="H493" s="49"/>
      <c r="I493" s="49"/>
      <c r="J493" s="49"/>
      <c r="K493" s="49"/>
      <c r="L493" s="49"/>
    </row>
    <row r="494" spans="3:12" x14ac:dyDescent="0.2">
      <c r="C494" s="49"/>
      <c r="D494" s="49"/>
      <c r="E494" s="49"/>
      <c r="F494" s="49"/>
      <c r="H494" s="49"/>
      <c r="I494" s="49"/>
      <c r="J494" s="49"/>
      <c r="K494" s="49"/>
      <c r="L494" s="49"/>
    </row>
    <row r="495" spans="3:12" x14ac:dyDescent="0.2">
      <c r="C495" s="49"/>
      <c r="D495" s="49"/>
      <c r="E495" s="49"/>
      <c r="F495" s="49"/>
      <c r="H495" s="49"/>
      <c r="I495" s="49"/>
      <c r="J495" s="49"/>
      <c r="K495" s="49"/>
      <c r="L495" s="49"/>
    </row>
    <row r="496" spans="3:12" x14ac:dyDescent="0.2">
      <c r="C496" s="49"/>
      <c r="D496" s="49"/>
      <c r="E496" s="49"/>
      <c r="F496" s="49"/>
      <c r="H496" s="49"/>
      <c r="I496" s="49"/>
      <c r="J496" s="49"/>
      <c r="K496" s="49"/>
      <c r="L496" s="49"/>
    </row>
    <row r="497" spans="3:12" x14ac:dyDescent="0.2">
      <c r="C497" s="49"/>
      <c r="D497" s="49"/>
      <c r="E497" s="49"/>
      <c r="F497" s="49"/>
      <c r="H497" s="49"/>
      <c r="I497" s="49"/>
      <c r="J497" s="49"/>
      <c r="K497" s="49"/>
      <c r="L497" s="49"/>
    </row>
    <row r="498" spans="3:12" x14ac:dyDescent="0.2">
      <c r="C498" s="49"/>
      <c r="D498" s="49"/>
      <c r="E498" s="49"/>
      <c r="F498" s="49"/>
      <c r="H498" s="49"/>
      <c r="I498" s="49"/>
      <c r="J498" s="49"/>
      <c r="K498" s="49"/>
      <c r="L498" s="49"/>
    </row>
    <row r="499" spans="3:12" x14ac:dyDescent="0.2">
      <c r="C499" s="49"/>
      <c r="D499" s="49"/>
      <c r="E499" s="49"/>
      <c r="F499" s="49"/>
      <c r="H499" s="49"/>
      <c r="I499" s="49"/>
      <c r="J499" s="49"/>
      <c r="K499" s="49"/>
      <c r="L499" s="49"/>
    </row>
    <row r="500" spans="3:12" x14ac:dyDescent="0.2">
      <c r="C500" s="49"/>
      <c r="D500" s="49"/>
      <c r="E500" s="49"/>
      <c r="F500" s="49"/>
      <c r="H500" s="49"/>
      <c r="I500" s="49"/>
      <c r="J500" s="49"/>
      <c r="K500" s="49"/>
      <c r="L500" s="49"/>
    </row>
    <row r="501" spans="3:12" x14ac:dyDescent="0.2">
      <c r="C501" s="49"/>
      <c r="D501" s="49"/>
      <c r="E501" s="49"/>
      <c r="F501" s="49"/>
      <c r="H501" s="49"/>
      <c r="I501" s="49"/>
      <c r="J501" s="49"/>
      <c r="K501" s="49"/>
      <c r="L501" s="49"/>
    </row>
    <row r="502" spans="3:12" x14ac:dyDescent="0.2">
      <c r="C502" s="49"/>
      <c r="D502" s="49"/>
      <c r="E502" s="49"/>
      <c r="F502" s="49"/>
      <c r="H502" s="49"/>
      <c r="I502" s="49"/>
      <c r="J502" s="49"/>
      <c r="K502" s="49"/>
      <c r="L502" s="49"/>
    </row>
    <row r="503" spans="3:12" x14ac:dyDescent="0.2">
      <c r="C503" s="49"/>
      <c r="D503" s="49"/>
      <c r="E503" s="49"/>
      <c r="F503" s="49"/>
      <c r="H503" s="49"/>
      <c r="I503" s="49"/>
      <c r="J503" s="49"/>
      <c r="K503" s="49"/>
      <c r="L503" s="49"/>
    </row>
    <row r="504" spans="3:12" x14ac:dyDescent="0.2">
      <c r="C504" s="49"/>
      <c r="D504" s="49"/>
      <c r="E504" s="49"/>
      <c r="F504" s="49"/>
      <c r="H504" s="49"/>
      <c r="I504" s="49"/>
      <c r="J504" s="49"/>
      <c r="K504" s="49"/>
      <c r="L504" s="49"/>
    </row>
    <row r="505" spans="3:12" x14ac:dyDescent="0.2">
      <c r="C505" s="49"/>
      <c r="D505" s="49"/>
      <c r="E505" s="49"/>
      <c r="F505" s="49"/>
      <c r="H505" s="49"/>
      <c r="I505" s="49"/>
      <c r="J505" s="49"/>
      <c r="K505" s="49"/>
      <c r="L505" s="49"/>
    </row>
    <row r="506" spans="3:12" x14ac:dyDescent="0.2">
      <c r="C506" s="49"/>
      <c r="D506" s="49"/>
      <c r="E506" s="49"/>
      <c r="F506" s="49"/>
      <c r="H506" s="49"/>
      <c r="I506" s="49"/>
      <c r="J506" s="49"/>
      <c r="K506" s="49"/>
      <c r="L506" s="49"/>
    </row>
    <row r="507" spans="3:12" x14ac:dyDescent="0.2">
      <c r="C507" s="49"/>
      <c r="D507" s="49"/>
      <c r="E507" s="49"/>
      <c r="F507" s="49"/>
      <c r="H507" s="49"/>
      <c r="I507" s="49"/>
      <c r="J507" s="49"/>
      <c r="K507" s="49"/>
      <c r="L507" s="49"/>
    </row>
    <row r="508" spans="3:12" x14ac:dyDescent="0.2">
      <c r="C508" s="49"/>
      <c r="D508" s="49"/>
      <c r="E508" s="49"/>
      <c r="F508" s="49"/>
      <c r="H508" s="49"/>
      <c r="I508" s="49"/>
      <c r="J508" s="49"/>
      <c r="K508" s="49"/>
      <c r="L508" s="49"/>
    </row>
    <row r="509" spans="3:12" x14ac:dyDescent="0.2">
      <c r="C509" s="49"/>
      <c r="D509" s="49"/>
      <c r="E509" s="49"/>
      <c r="F509" s="49"/>
      <c r="H509" s="49"/>
      <c r="I509" s="49"/>
      <c r="J509" s="49"/>
      <c r="K509" s="49"/>
      <c r="L509" s="49"/>
    </row>
    <row r="510" spans="3:12" x14ac:dyDescent="0.2">
      <c r="C510" s="49"/>
      <c r="D510" s="49"/>
      <c r="E510" s="49"/>
      <c r="F510" s="49"/>
      <c r="H510" s="49"/>
      <c r="I510" s="49"/>
      <c r="J510" s="49"/>
      <c r="K510" s="49"/>
      <c r="L510" s="49"/>
    </row>
    <row r="511" spans="3:12" x14ac:dyDescent="0.2">
      <c r="C511" s="49"/>
      <c r="D511" s="49"/>
      <c r="E511" s="49"/>
      <c r="F511" s="49"/>
      <c r="H511" s="49"/>
      <c r="I511" s="49"/>
      <c r="J511" s="49"/>
      <c r="K511" s="49"/>
      <c r="L511" s="49"/>
    </row>
    <row r="512" spans="3:12" x14ac:dyDescent="0.2">
      <c r="C512" s="49"/>
      <c r="D512" s="49"/>
      <c r="E512" s="49"/>
      <c r="F512" s="49"/>
      <c r="H512" s="49"/>
      <c r="I512" s="49"/>
      <c r="J512" s="49"/>
      <c r="K512" s="49"/>
      <c r="L512" s="49"/>
    </row>
    <row r="513" spans="3:12" x14ac:dyDescent="0.2">
      <c r="C513" s="49"/>
      <c r="D513" s="49"/>
      <c r="E513" s="49"/>
      <c r="F513" s="49"/>
      <c r="H513" s="49"/>
      <c r="I513" s="49"/>
      <c r="J513" s="49"/>
      <c r="K513" s="49"/>
      <c r="L513" s="49"/>
    </row>
    <row r="514" spans="3:12" x14ac:dyDescent="0.2">
      <c r="C514" s="49"/>
      <c r="D514" s="49"/>
      <c r="E514" s="49"/>
      <c r="F514" s="49"/>
      <c r="H514" s="49"/>
      <c r="I514" s="49"/>
      <c r="J514" s="49"/>
      <c r="K514" s="49"/>
      <c r="L514" s="49"/>
    </row>
    <row r="515" spans="3:12" x14ac:dyDescent="0.2">
      <c r="C515" s="49"/>
      <c r="D515" s="49"/>
      <c r="E515" s="49"/>
      <c r="F515" s="49"/>
      <c r="H515" s="49"/>
      <c r="I515" s="49"/>
      <c r="J515" s="49"/>
      <c r="K515" s="49"/>
      <c r="L515" s="49"/>
    </row>
    <row r="516" spans="3:12" x14ac:dyDescent="0.2">
      <c r="C516" s="49"/>
      <c r="D516" s="49"/>
      <c r="E516" s="49"/>
      <c r="F516" s="49"/>
      <c r="H516" s="49"/>
      <c r="I516" s="49"/>
      <c r="J516" s="49"/>
      <c r="K516" s="49"/>
      <c r="L516" s="49"/>
    </row>
    <row r="517" spans="3:12" x14ac:dyDescent="0.2">
      <c r="C517" s="49"/>
      <c r="D517" s="49"/>
      <c r="E517" s="49"/>
      <c r="F517" s="49"/>
      <c r="H517" s="49"/>
      <c r="I517" s="49"/>
      <c r="J517" s="49"/>
      <c r="K517" s="49"/>
      <c r="L517" s="49"/>
    </row>
    <row r="518" spans="3:12" x14ac:dyDescent="0.2">
      <c r="C518" s="49"/>
      <c r="D518" s="49"/>
      <c r="E518" s="49"/>
      <c r="F518" s="49"/>
      <c r="H518" s="49"/>
      <c r="I518" s="49"/>
      <c r="J518" s="49"/>
      <c r="K518" s="49"/>
      <c r="L518" s="49"/>
    </row>
    <row r="519" spans="3:12" x14ac:dyDescent="0.2">
      <c r="C519" s="49"/>
      <c r="D519" s="49"/>
      <c r="E519" s="49"/>
      <c r="F519" s="49"/>
      <c r="H519" s="49"/>
      <c r="I519" s="49"/>
      <c r="J519" s="49"/>
      <c r="K519" s="49"/>
      <c r="L519" s="49"/>
    </row>
    <row r="520" spans="3:12" x14ac:dyDescent="0.2">
      <c r="C520" s="49"/>
      <c r="D520" s="49"/>
      <c r="E520" s="49"/>
      <c r="F520" s="49"/>
      <c r="H520" s="49"/>
      <c r="I520" s="49"/>
      <c r="J520" s="49"/>
      <c r="K520" s="49"/>
      <c r="L520" s="49"/>
    </row>
    <row r="521" spans="3:12" x14ac:dyDescent="0.2">
      <c r="C521" s="49"/>
      <c r="D521" s="49"/>
      <c r="E521" s="49"/>
      <c r="F521" s="49"/>
      <c r="H521" s="49"/>
      <c r="I521" s="49"/>
      <c r="J521" s="49"/>
      <c r="K521" s="49"/>
      <c r="L521" s="49"/>
    </row>
    <row r="522" spans="3:12" x14ac:dyDescent="0.2">
      <c r="C522" s="49"/>
      <c r="D522" s="49"/>
      <c r="E522" s="49"/>
      <c r="F522" s="49"/>
      <c r="H522" s="49"/>
      <c r="I522" s="49"/>
      <c r="J522" s="49"/>
      <c r="K522" s="49"/>
      <c r="L522" s="49"/>
    </row>
    <row r="523" spans="3:12" x14ac:dyDescent="0.2">
      <c r="C523" s="49"/>
      <c r="D523" s="49"/>
      <c r="E523" s="49"/>
      <c r="F523" s="49"/>
      <c r="H523" s="49"/>
      <c r="I523" s="49"/>
      <c r="J523" s="49"/>
      <c r="K523" s="49"/>
      <c r="L523" s="49"/>
    </row>
    <row r="524" spans="3:12" x14ac:dyDescent="0.2">
      <c r="C524" s="49"/>
      <c r="D524" s="49"/>
      <c r="E524" s="49"/>
      <c r="F524" s="49"/>
      <c r="H524" s="49"/>
      <c r="I524" s="49"/>
      <c r="J524" s="49"/>
      <c r="K524" s="49"/>
      <c r="L524" s="49"/>
    </row>
    <row r="525" spans="3:12" x14ac:dyDescent="0.2">
      <c r="C525" s="49"/>
      <c r="D525" s="49"/>
      <c r="E525" s="49"/>
      <c r="F525" s="49"/>
      <c r="H525" s="49"/>
      <c r="I525" s="49"/>
      <c r="J525" s="49"/>
      <c r="K525" s="49"/>
      <c r="L525" s="49"/>
    </row>
    <row r="526" spans="3:12" x14ac:dyDescent="0.2">
      <c r="C526" s="49"/>
      <c r="D526" s="49"/>
      <c r="E526" s="49"/>
      <c r="F526" s="49"/>
      <c r="H526" s="49"/>
      <c r="I526" s="49"/>
      <c r="J526" s="49"/>
      <c r="K526" s="49"/>
      <c r="L526" s="49"/>
    </row>
    <row r="527" spans="3:12" x14ac:dyDescent="0.2">
      <c r="C527" s="49"/>
      <c r="D527" s="49"/>
      <c r="E527" s="49"/>
      <c r="F527" s="49"/>
      <c r="H527" s="49"/>
      <c r="I527" s="49"/>
      <c r="J527" s="49"/>
      <c r="K527" s="49"/>
      <c r="L527" s="49"/>
    </row>
    <row r="528" spans="3:12" x14ac:dyDescent="0.2">
      <c r="C528" s="49"/>
      <c r="D528" s="49"/>
      <c r="E528" s="49"/>
      <c r="F528" s="49"/>
      <c r="H528" s="49"/>
      <c r="I528" s="49"/>
      <c r="J528" s="49"/>
      <c r="K528" s="49"/>
      <c r="L528" s="49"/>
    </row>
    <row r="529" spans="3:12" x14ac:dyDescent="0.2">
      <c r="C529" s="49"/>
      <c r="D529" s="49"/>
      <c r="E529" s="49"/>
      <c r="F529" s="49"/>
      <c r="H529" s="49"/>
      <c r="I529" s="49"/>
      <c r="J529" s="49"/>
      <c r="K529" s="49"/>
      <c r="L529" s="49"/>
    </row>
    <row r="530" spans="3:12" x14ac:dyDescent="0.2">
      <c r="C530" s="49"/>
      <c r="D530" s="49"/>
      <c r="E530" s="49"/>
      <c r="F530" s="49"/>
      <c r="H530" s="49"/>
      <c r="I530" s="49"/>
      <c r="J530" s="49"/>
      <c r="K530" s="49"/>
      <c r="L530" s="49"/>
    </row>
    <row r="531" spans="3:12" x14ac:dyDescent="0.2">
      <c r="C531" s="49"/>
      <c r="D531" s="49"/>
      <c r="E531" s="49"/>
      <c r="F531" s="49"/>
      <c r="H531" s="49"/>
      <c r="I531" s="49"/>
      <c r="J531" s="49"/>
      <c r="K531" s="49"/>
      <c r="L531" s="49"/>
    </row>
    <row r="532" spans="3:12" x14ac:dyDescent="0.2">
      <c r="C532" s="49"/>
      <c r="D532" s="49"/>
      <c r="E532" s="49"/>
      <c r="F532" s="49"/>
      <c r="H532" s="49"/>
      <c r="I532" s="49"/>
      <c r="J532" s="49"/>
      <c r="K532" s="49"/>
      <c r="L532" s="49"/>
    </row>
    <row r="533" spans="3:12" x14ac:dyDescent="0.2">
      <c r="C533" s="49"/>
      <c r="D533" s="49"/>
      <c r="E533" s="49"/>
      <c r="F533" s="49"/>
      <c r="H533" s="49"/>
      <c r="I533" s="49"/>
      <c r="J533" s="49"/>
      <c r="K533" s="49"/>
      <c r="L533" s="49"/>
    </row>
    <row r="534" spans="3:12" x14ac:dyDescent="0.2">
      <c r="C534" s="49"/>
      <c r="D534" s="49"/>
      <c r="E534" s="49"/>
      <c r="F534" s="49"/>
      <c r="H534" s="49"/>
      <c r="I534" s="49"/>
      <c r="J534" s="49"/>
      <c r="K534" s="49"/>
      <c r="L534" s="49"/>
    </row>
    <row r="535" spans="3:12" x14ac:dyDescent="0.2">
      <c r="C535" s="49"/>
      <c r="D535" s="49"/>
      <c r="E535" s="49"/>
      <c r="F535" s="49"/>
      <c r="H535" s="49"/>
      <c r="I535" s="49"/>
      <c r="J535" s="49"/>
      <c r="K535" s="49"/>
      <c r="L535" s="49"/>
    </row>
    <row r="536" spans="3:12" x14ac:dyDescent="0.2">
      <c r="C536" s="49"/>
      <c r="D536" s="49"/>
      <c r="E536" s="49"/>
      <c r="F536" s="49"/>
      <c r="H536" s="49"/>
      <c r="I536" s="49"/>
      <c r="J536" s="49"/>
      <c r="K536" s="49"/>
      <c r="L536" s="49"/>
    </row>
    <row r="537" spans="3:12" x14ac:dyDescent="0.2">
      <c r="C537" s="49"/>
      <c r="D537" s="49"/>
      <c r="E537" s="49"/>
      <c r="F537" s="49"/>
      <c r="H537" s="49"/>
      <c r="I537" s="49"/>
      <c r="J537" s="49"/>
      <c r="K537" s="49"/>
      <c r="L537" s="49"/>
    </row>
    <row r="538" spans="3:12" x14ac:dyDescent="0.2">
      <c r="C538" s="49"/>
      <c r="D538" s="49"/>
      <c r="E538" s="49"/>
      <c r="F538" s="49"/>
      <c r="H538" s="49"/>
      <c r="I538" s="49"/>
      <c r="J538" s="49"/>
      <c r="K538" s="49"/>
      <c r="L538" s="49"/>
    </row>
    <row r="539" spans="3:12" x14ac:dyDescent="0.2">
      <c r="C539" s="49"/>
      <c r="D539" s="49"/>
      <c r="E539" s="49"/>
      <c r="F539" s="49"/>
      <c r="H539" s="49"/>
      <c r="I539" s="49"/>
      <c r="J539" s="49"/>
      <c r="K539" s="49"/>
      <c r="L539" s="49"/>
    </row>
    <row r="540" spans="3:12" x14ac:dyDescent="0.2">
      <c r="C540" s="49"/>
      <c r="D540" s="49"/>
      <c r="E540" s="49"/>
      <c r="F540" s="49"/>
      <c r="H540" s="49"/>
      <c r="I540" s="49"/>
      <c r="J540" s="49"/>
      <c r="K540" s="49"/>
      <c r="L540" s="49"/>
    </row>
    <row r="541" spans="3:12" x14ac:dyDescent="0.2">
      <c r="C541" s="49"/>
      <c r="D541" s="49"/>
      <c r="E541" s="49"/>
      <c r="F541" s="49"/>
      <c r="H541" s="49"/>
      <c r="I541" s="49"/>
      <c r="J541" s="49"/>
      <c r="K541" s="49"/>
      <c r="L541" s="49"/>
    </row>
    <row r="542" spans="3:12" x14ac:dyDescent="0.2">
      <c r="C542" s="49"/>
      <c r="D542" s="49"/>
      <c r="E542" s="49"/>
      <c r="F542" s="49"/>
      <c r="H542" s="49"/>
      <c r="I542" s="49"/>
      <c r="J542" s="49"/>
      <c r="K542" s="49"/>
      <c r="L542" s="49"/>
    </row>
    <row r="543" spans="3:12" x14ac:dyDescent="0.2">
      <c r="C543" s="49"/>
      <c r="D543" s="49"/>
      <c r="E543" s="49"/>
      <c r="F543" s="49"/>
      <c r="H543" s="49"/>
      <c r="I543" s="49"/>
      <c r="J543" s="49"/>
      <c r="K543" s="49"/>
      <c r="L543" s="49"/>
    </row>
    <row r="544" spans="3:12" x14ac:dyDescent="0.2">
      <c r="C544" s="49"/>
      <c r="D544" s="49"/>
      <c r="E544" s="49"/>
      <c r="F544" s="49"/>
      <c r="H544" s="49"/>
      <c r="I544" s="49"/>
      <c r="J544" s="49"/>
      <c r="K544" s="49"/>
      <c r="L544" s="49"/>
    </row>
    <row r="545" spans="3:12" x14ac:dyDescent="0.2">
      <c r="C545" s="49"/>
      <c r="D545" s="49"/>
      <c r="E545" s="49"/>
      <c r="F545" s="49"/>
      <c r="H545" s="49"/>
      <c r="I545" s="49"/>
      <c r="J545" s="49"/>
      <c r="K545" s="49"/>
      <c r="L545" s="49"/>
    </row>
    <row r="546" spans="3:12" x14ac:dyDescent="0.2">
      <c r="C546" s="49"/>
      <c r="D546" s="49"/>
      <c r="E546" s="49"/>
      <c r="F546" s="49"/>
      <c r="H546" s="49"/>
      <c r="I546" s="49"/>
      <c r="J546" s="49"/>
      <c r="K546" s="49"/>
      <c r="L546" s="49"/>
    </row>
    <row r="547" spans="3:12" x14ac:dyDescent="0.2">
      <c r="C547" s="49"/>
      <c r="D547" s="49"/>
      <c r="E547" s="49"/>
      <c r="F547" s="49"/>
      <c r="H547" s="49"/>
      <c r="I547" s="49"/>
      <c r="J547" s="49"/>
      <c r="K547" s="49"/>
      <c r="L547" s="49"/>
    </row>
    <row r="548" spans="3:12" x14ac:dyDescent="0.2">
      <c r="C548" s="49"/>
      <c r="D548" s="49"/>
      <c r="E548" s="49"/>
      <c r="F548" s="49"/>
      <c r="H548" s="49"/>
      <c r="I548" s="49"/>
      <c r="J548" s="49"/>
      <c r="K548" s="49"/>
      <c r="L548" s="49"/>
    </row>
    <row r="549" spans="3:12" x14ac:dyDescent="0.2">
      <c r="C549" s="49"/>
      <c r="D549" s="49"/>
      <c r="E549" s="49"/>
      <c r="F549" s="49"/>
      <c r="H549" s="49"/>
      <c r="I549" s="49"/>
      <c r="J549" s="49"/>
      <c r="K549" s="49"/>
      <c r="L549" s="49"/>
    </row>
    <row r="550" spans="3:12" x14ac:dyDescent="0.2">
      <c r="C550" s="49"/>
      <c r="D550" s="49"/>
      <c r="E550" s="49"/>
      <c r="F550" s="49"/>
      <c r="H550" s="49"/>
      <c r="I550" s="49"/>
      <c r="J550" s="49"/>
      <c r="K550" s="49"/>
      <c r="L550" s="49"/>
    </row>
    <row r="551" spans="3:12" x14ac:dyDescent="0.2">
      <c r="C551" s="49"/>
      <c r="D551" s="49"/>
      <c r="E551" s="49"/>
      <c r="F551" s="49"/>
      <c r="H551" s="49"/>
      <c r="I551" s="49"/>
      <c r="J551" s="49"/>
      <c r="K551" s="49"/>
      <c r="L551" s="49"/>
    </row>
    <row r="552" spans="3:12" x14ac:dyDescent="0.2">
      <c r="C552" s="49"/>
      <c r="D552" s="49"/>
      <c r="E552" s="49"/>
      <c r="F552" s="49"/>
      <c r="H552" s="49"/>
      <c r="I552" s="49"/>
      <c r="J552" s="49"/>
      <c r="K552" s="49"/>
      <c r="L552" s="49"/>
    </row>
    <row r="553" spans="3:12" x14ac:dyDescent="0.2">
      <c r="C553" s="49"/>
      <c r="D553" s="49"/>
      <c r="E553" s="49"/>
      <c r="F553" s="49"/>
      <c r="H553" s="49"/>
      <c r="I553" s="49"/>
      <c r="J553" s="49"/>
      <c r="K553" s="49"/>
      <c r="L553" s="49"/>
    </row>
    <row r="554" spans="3:12" x14ac:dyDescent="0.2">
      <c r="C554" s="49"/>
      <c r="D554" s="49"/>
      <c r="E554" s="49"/>
      <c r="F554" s="49"/>
      <c r="H554" s="49"/>
      <c r="I554" s="49"/>
      <c r="J554" s="49"/>
      <c r="K554" s="49"/>
      <c r="L554" s="49"/>
    </row>
    <row r="555" spans="3:12" x14ac:dyDescent="0.2">
      <c r="C555" s="49"/>
      <c r="D555" s="49"/>
      <c r="E555" s="49"/>
      <c r="F555" s="49"/>
      <c r="H555" s="49"/>
      <c r="I555" s="49"/>
      <c r="J555" s="49"/>
      <c r="K555" s="49"/>
      <c r="L555" s="49"/>
    </row>
    <row r="556" spans="3:12" x14ac:dyDescent="0.2">
      <c r="C556" s="49"/>
      <c r="D556" s="49"/>
      <c r="E556" s="49"/>
      <c r="F556" s="49"/>
      <c r="H556" s="49"/>
      <c r="I556" s="49"/>
      <c r="J556" s="49"/>
      <c r="K556" s="49"/>
      <c r="L556" s="49"/>
    </row>
    <row r="557" spans="3:12" x14ac:dyDescent="0.2">
      <c r="C557" s="49"/>
      <c r="D557" s="49"/>
      <c r="E557" s="49"/>
      <c r="F557" s="49"/>
      <c r="H557" s="49"/>
      <c r="I557" s="49"/>
      <c r="J557" s="49"/>
      <c r="K557" s="49"/>
      <c r="L557" s="49"/>
    </row>
    <row r="558" spans="3:12" x14ac:dyDescent="0.2">
      <c r="C558" s="49"/>
      <c r="D558" s="49"/>
      <c r="E558" s="49"/>
      <c r="F558" s="49"/>
      <c r="H558" s="49"/>
      <c r="I558" s="49"/>
      <c r="J558" s="49"/>
      <c r="K558" s="49"/>
      <c r="L558" s="49"/>
    </row>
    <row r="559" spans="3:12" x14ac:dyDescent="0.2">
      <c r="C559" s="49"/>
      <c r="D559" s="49"/>
      <c r="E559" s="49"/>
      <c r="F559" s="49"/>
      <c r="H559" s="49"/>
      <c r="I559" s="49"/>
      <c r="J559" s="49"/>
      <c r="K559" s="49"/>
      <c r="L559" s="49"/>
    </row>
    <row r="560" spans="3:12" x14ac:dyDescent="0.2">
      <c r="C560" s="49"/>
      <c r="D560" s="49"/>
      <c r="E560" s="49"/>
      <c r="F560" s="49"/>
      <c r="H560" s="49"/>
      <c r="I560" s="49"/>
      <c r="J560" s="49"/>
      <c r="K560" s="49"/>
      <c r="L560" s="49"/>
    </row>
    <row r="561" spans="3:12" x14ac:dyDescent="0.2">
      <c r="C561" s="49"/>
      <c r="D561" s="49"/>
      <c r="E561" s="49"/>
      <c r="F561" s="49"/>
      <c r="H561" s="49"/>
      <c r="I561" s="49"/>
      <c r="J561" s="49"/>
      <c r="K561" s="49"/>
      <c r="L561" s="49"/>
    </row>
    <row r="562" spans="3:12" x14ac:dyDescent="0.2">
      <c r="C562" s="49"/>
      <c r="D562" s="49"/>
      <c r="E562" s="49"/>
      <c r="F562" s="49"/>
      <c r="H562" s="49"/>
      <c r="I562" s="49"/>
      <c r="J562" s="49"/>
      <c r="K562" s="49"/>
      <c r="L562" s="49"/>
    </row>
    <row r="563" spans="3:12" x14ac:dyDescent="0.2">
      <c r="C563" s="49"/>
      <c r="D563" s="49"/>
      <c r="E563" s="49"/>
      <c r="F563" s="49"/>
      <c r="H563" s="49"/>
      <c r="I563" s="49"/>
      <c r="J563" s="49"/>
      <c r="K563" s="49"/>
      <c r="L563" s="49"/>
    </row>
    <row r="564" spans="3:12" x14ac:dyDescent="0.2">
      <c r="C564" s="49"/>
      <c r="D564" s="49"/>
      <c r="E564" s="49"/>
      <c r="F564" s="49"/>
      <c r="H564" s="49"/>
      <c r="I564" s="49"/>
      <c r="J564" s="49"/>
      <c r="K564" s="49"/>
      <c r="L564" s="49"/>
    </row>
    <row r="565" spans="3:12" x14ac:dyDescent="0.2">
      <c r="C565" s="49"/>
      <c r="D565" s="49"/>
      <c r="E565" s="49"/>
      <c r="F565" s="49"/>
      <c r="H565" s="49"/>
      <c r="I565" s="49"/>
      <c r="J565" s="49"/>
      <c r="K565" s="49"/>
      <c r="L565" s="49"/>
    </row>
    <row r="566" spans="3:12" x14ac:dyDescent="0.2">
      <c r="C566" s="49"/>
      <c r="D566" s="49"/>
      <c r="E566" s="49"/>
      <c r="F566" s="49"/>
      <c r="H566" s="49"/>
      <c r="I566" s="49"/>
      <c r="J566" s="49"/>
      <c r="K566" s="49"/>
      <c r="L566" s="49"/>
    </row>
    <row r="567" spans="3:12" x14ac:dyDescent="0.2">
      <c r="C567" s="49"/>
      <c r="D567" s="49"/>
      <c r="E567" s="49"/>
      <c r="F567" s="49"/>
      <c r="H567" s="49"/>
      <c r="I567" s="49"/>
      <c r="J567" s="49"/>
      <c r="K567" s="49"/>
      <c r="L567" s="49"/>
    </row>
    <row r="568" spans="3:12" x14ac:dyDescent="0.2">
      <c r="C568" s="49"/>
      <c r="D568" s="49"/>
      <c r="E568" s="49"/>
      <c r="F568" s="49"/>
      <c r="H568" s="49"/>
      <c r="I568" s="49"/>
      <c r="J568" s="49"/>
      <c r="K568" s="49"/>
      <c r="L568" s="49"/>
    </row>
    <row r="569" spans="3:12" x14ac:dyDescent="0.2">
      <c r="C569" s="49"/>
      <c r="D569" s="49"/>
      <c r="E569" s="49"/>
      <c r="F569" s="49"/>
      <c r="H569" s="49"/>
      <c r="I569" s="49"/>
      <c r="J569" s="49"/>
      <c r="K569" s="49"/>
      <c r="L569" s="49"/>
    </row>
    <row r="570" spans="3:12" x14ac:dyDescent="0.2">
      <c r="C570" s="49"/>
      <c r="D570" s="49"/>
      <c r="E570" s="49"/>
      <c r="F570" s="49"/>
      <c r="H570" s="49"/>
      <c r="I570" s="49"/>
      <c r="J570" s="49"/>
      <c r="K570" s="49"/>
      <c r="L570" s="49"/>
    </row>
    <row r="571" spans="3:12" x14ac:dyDescent="0.2">
      <c r="C571" s="49"/>
      <c r="D571" s="49"/>
      <c r="E571" s="49"/>
      <c r="F571" s="49"/>
      <c r="H571" s="49"/>
      <c r="I571" s="49"/>
      <c r="J571" s="49"/>
      <c r="K571" s="49"/>
      <c r="L571" s="49"/>
    </row>
    <row r="572" spans="3:12" x14ac:dyDescent="0.2">
      <c r="C572" s="49"/>
      <c r="D572" s="49"/>
      <c r="E572" s="49"/>
      <c r="F572" s="49"/>
      <c r="H572" s="49"/>
      <c r="I572" s="49"/>
      <c r="J572" s="49"/>
      <c r="K572" s="49"/>
      <c r="L572" s="49"/>
    </row>
    <row r="573" spans="3:12" x14ac:dyDescent="0.2">
      <c r="C573" s="49"/>
      <c r="D573" s="49"/>
      <c r="E573" s="49"/>
      <c r="F573" s="49"/>
      <c r="H573" s="49"/>
      <c r="I573" s="49"/>
      <c r="J573" s="49"/>
      <c r="K573" s="49"/>
      <c r="L573" s="49"/>
    </row>
    <row r="574" spans="3:12" x14ac:dyDescent="0.2">
      <c r="C574" s="49"/>
      <c r="D574" s="49"/>
      <c r="E574" s="49"/>
      <c r="F574" s="49"/>
      <c r="H574" s="49"/>
      <c r="I574" s="49"/>
      <c r="J574" s="49"/>
      <c r="K574" s="49"/>
      <c r="L574" s="49"/>
    </row>
    <row r="575" spans="3:12" x14ac:dyDescent="0.2">
      <c r="C575" s="49"/>
      <c r="D575" s="49"/>
      <c r="E575" s="49"/>
      <c r="F575" s="49"/>
      <c r="H575" s="49"/>
      <c r="I575" s="49"/>
      <c r="J575" s="49"/>
      <c r="K575" s="49"/>
      <c r="L575" s="49"/>
    </row>
    <row r="576" spans="3:12" x14ac:dyDescent="0.2">
      <c r="C576" s="49"/>
      <c r="D576" s="49"/>
      <c r="E576" s="49"/>
      <c r="F576" s="49"/>
      <c r="H576" s="49"/>
      <c r="I576" s="49"/>
      <c r="J576" s="49"/>
      <c r="K576" s="49"/>
      <c r="L576" s="49"/>
    </row>
    <row r="577" spans="3:12" x14ac:dyDescent="0.2">
      <c r="C577" s="49"/>
      <c r="D577" s="49"/>
      <c r="E577" s="49"/>
      <c r="F577" s="49"/>
      <c r="H577" s="49"/>
      <c r="I577" s="49"/>
      <c r="J577" s="49"/>
      <c r="K577" s="49"/>
      <c r="L577" s="49"/>
    </row>
    <row r="578" spans="3:12" x14ac:dyDescent="0.2">
      <c r="C578" s="49"/>
      <c r="D578" s="49"/>
      <c r="E578" s="49"/>
      <c r="F578" s="49"/>
      <c r="H578" s="49"/>
      <c r="I578" s="49"/>
      <c r="J578" s="49"/>
      <c r="K578" s="49"/>
      <c r="L578" s="49"/>
    </row>
    <row r="579" spans="3:12" x14ac:dyDescent="0.2">
      <c r="C579" s="49"/>
      <c r="D579" s="49"/>
      <c r="E579" s="49"/>
      <c r="F579" s="49"/>
      <c r="H579" s="49"/>
      <c r="I579" s="49"/>
      <c r="J579" s="49"/>
      <c r="K579" s="49"/>
      <c r="L579" s="49"/>
    </row>
    <row r="580" spans="3:12" x14ac:dyDescent="0.2">
      <c r="C580" s="49"/>
      <c r="D580" s="49"/>
      <c r="E580" s="49"/>
      <c r="F580" s="49"/>
      <c r="H580" s="49"/>
      <c r="I580" s="49"/>
      <c r="J580" s="49"/>
      <c r="K580" s="49"/>
      <c r="L580" s="49"/>
    </row>
    <row r="581" spans="3:12" x14ac:dyDescent="0.2">
      <c r="C581" s="49"/>
      <c r="D581" s="49"/>
      <c r="E581" s="49"/>
      <c r="F581" s="49"/>
      <c r="H581" s="49"/>
      <c r="I581" s="49"/>
      <c r="J581" s="49"/>
      <c r="K581" s="49"/>
      <c r="L581" s="49"/>
    </row>
    <row r="582" spans="3:12" x14ac:dyDescent="0.2">
      <c r="C582" s="49"/>
      <c r="D582" s="49"/>
      <c r="E582" s="49"/>
      <c r="F582" s="49"/>
      <c r="H582" s="49"/>
      <c r="J582" s="49"/>
      <c r="K582" s="49"/>
      <c r="L582" s="49"/>
    </row>
    <row r="583" spans="3:12" x14ac:dyDescent="0.2">
      <c r="C583" s="49"/>
      <c r="D583" s="49"/>
      <c r="E583" s="49"/>
      <c r="F583" s="49"/>
      <c r="H583" s="49"/>
      <c r="J583" s="49"/>
      <c r="K583" s="49"/>
      <c r="L583" s="49"/>
    </row>
    <row r="584" spans="3:12" x14ac:dyDescent="0.2">
      <c r="C584" s="49"/>
      <c r="D584" s="49"/>
      <c r="E584" s="49"/>
      <c r="F584" s="49"/>
      <c r="H584" s="49"/>
      <c r="J584" s="49"/>
      <c r="K584" s="49"/>
      <c r="L584" s="49"/>
    </row>
    <row r="585" spans="3:12" x14ac:dyDescent="0.2">
      <c r="C585" s="49"/>
      <c r="D585" s="49"/>
      <c r="E585" s="49"/>
      <c r="F585" s="49"/>
      <c r="H585" s="49"/>
      <c r="J585" s="49"/>
      <c r="K585" s="49"/>
      <c r="L585" s="49"/>
    </row>
    <row r="586" spans="3:12" x14ac:dyDescent="0.2">
      <c r="C586" s="49"/>
      <c r="D586" s="49"/>
      <c r="E586" s="49"/>
      <c r="F586" s="49"/>
      <c r="H586" s="49"/>
      <c r="J586" s="49"/>
      <c r="K586" s="49"/>
      <c r="L586" s="49"/>
    </row>
    <row r="587" spans="3:12" x14ac:dyDescent="0.2">
      <c r="C587" s="49"/>
      <c r="D587" s="49"/>
      <c r="E587" s="49"/>
      <c r="F587" s="49"/>
      <c r="H587" s="49"/>
      <c r="J587" s="49"/>
      <c r="K587" s="49"/>
      <c r="L587" s="49"/>
    </row>
    <row r="588" spans="3:12" x14ac:dyDescent="0.2">
      <c r="H588" s="49"/>
      <c r="J588" s="49"/>
      <c r="K588" s="49"/>
      <c r="L588" s="49"/>
    </row>
  </sheetData>
  <sheetProtection algorithmName="SHA-512" hashValue="YRp49LjUWuIEKglZ6DCnEvYgVIAgEEMtdesanvr8LTD5a4OC7ETYbYVt47+NwL0QjqxZQ3Ykv7kT6PuHhq8JGg==" saltValue="5ddphlDMcsd+f2yfgBF+mw==" spinCount="100000" sheet="1" objects="1" scenarios="1"/>
  <mergeCells count="6">
    <mergeCell ref="B34:E34"/>
    <mergeCell ref="C2:G2"/>
    <mergeCell ref="C4:G4"/>
    <mergeCell ref="B26:B29"/>
    <mergeCell ref="B6:B20"/>
    <mergeCell ref="C24:G24"/>
  </mergeCells>
  <phoneticPr fontId="11" type="noConversion"/>
  <pageMargins left="0.75" right="0.75" top="1" bottom="1" header="0" footer="0"/>
  <pageSetup paperSize="9" scale="40" fitToHeight="3" orientation="landscape" r:id="rId1"/>
  <headerFooter alignWithMargins="0">
    <oddFooter>&amp;L&amp;"David,רגיל"IBEX Advanced Business Consulting Ltd.&amp;R&amp;"David,רגיל"&amp;D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rgb="FF92D050"/>
  </sheetPr>
  <dimension ref="A1:Y39"/>
  <sheetViews>
    <sheetView zoomScaleNormal="100" workbookViewId="0">
      <selection activeCell="F10" sqref="F10"/>
    </sheetView>
  </sheetViews>
  <sheetFormatPr defaultColWidth="11.42578125" defaultRowHeight="12.75" x14ac:dyDescent="0.2"/>
  <cols>
    <col min="1" max="1" width="5.42578125" style="57" customWidth="1"/>
    <col min="2" max="2" width="41.5703125" style="57" customWidth="1"/>
    <col min="3" max="3" width="18.28515625" style="57" customWidth="1"/>
    <col min="4" max="4" width="16.85546875" style="57" customWidth="1"/>
    <col min="5" max="5" width="15" style="57" customWidth="1"/>
    <col min="6" max="6" width="17.28515625" style="57" customWidth="1"/>
    <col min="7" max="7" width="19.28515625" style="57" customWidth="1"/>
    <col min="8" max="9" width="13.42578125" style="57" customWidth="1"/>
    <col min="10" max="25" width="11.42578125" style="60" customWidth="1"/>
    <col min="26" max="16384" width="11.42578125" style="104"/>
  </cols>
  <sheetData>
    <row r="1" spans="1:25" x14ac:dyDescent="0.2">
      <c r="H1" s="58"/>
      <c r="I1" s="58"/>
      <c r="J1" s="58"/>
      <c r="V1" s="104"/>
      <c r="W1" s="104"/>
      <c r="X1" s="104"/>
      <c r="Y1" s="104"/>
    </row>
    <row r="2" spans="1:25" s="67" customFormat="1" ht="18" x14ac:dyDescent="0.25">
      <c r="A2" s="1"/>
      <c r="B2" s="567" t="s">
        <v>336</v>
      </c>
      <c r="C2" s="567"/>
      <c r="D2" s="567"/>
      <c r="E2" s="567"/>
      <c r="F2" s="567"/>
      <c r="G2" s="567"/>
      <c r="H2" s="48"/>
      <c r="I2" s="48"/>
    </row>
    <row r="3" spans="1:25" x14ac:dyDescent="0.2">
      <c r="A3" s="47"/>
      <c r="H3" s="58"/>
      <c r="I3" s="58"/>
      <c r="J3" s="58"/>
      <c r="V3" s="104"/>
      <c r="W3" s="104"/>
      <c r="X3" s="104"/>
      <c r="Y3" s="104"/>
    </row>
    <row r="4" spans="1:25" s="105" customFormat="1" ht="15.75" x14ac:dyDescent="0.25">
      <c r="A4" s="61"/>
      <c r="B4" s="603" t="s">
        <v>69</v>
      </c>
      <c r="C4" s="602" t="s">
        <v>70</v>
      </c>
      <c r="D4" s="602" t="s">
        <v>103</v>
      </c>
      <c r="E4" s="602"/>
      <c r="F4" s="602"/>
      <c r="G4" s="602" t="s">
        <v>71</v>
      </c>
      <c r="H4" s="62"/>
      <c r="I4" s="63"/>
      <c r="J4" s="65"/>
      <c r="K4" s="66"/>
      <c r="L4" s="66"/>
      <c r="M4" s="66"/>
      <c r="N4" s="66"/>
      <c r="O4" s="66"/>
      <c r="P4" s="66"/>
      <c r="Q4" s="66"/>
      <c r="R4" s="66"/>
      <c r="S4" s="66"/>
      <c r="T4" s="66"/>
      <c r="U4" s="66"/>
    </row>
    <row r="5" spans="1:25" s="105" customFormat="1" ht="15.75" x14ac:dyDescent="0.25">
      <c r="A5" s="61"/>
      <c r="B5" s="603"/>
      <c r="C5" s="602"/>
      <c r="D5" s="209" t="s">
        <v>123</v>
      </c>
      <c r="E5" s="209" t="s">
        <v>101</v>
      </c>
      <c r="F5" s="209" t="s">
        <v>102</v>
      </c>
      <c r="G5" s="602"/>
      <c r="H5" s="62"/>
      <c r="I5" s="63"/>
      <c r="J5" s="65"/>
      <c r="K5" s="66"/>
      <c r="L5" s="66"/>
      <c r="M5" s="66"/>
      <c r="N5" s="66"/>
      <c r="O5" s="66"/>
      <c r="P5" s="66"/>
      <c r="Q5" s="66"/>
      <c r="R5" s="66"/>
      <c r="S5" s="66"/>
      <c r="T5" s="66"/>
      <c r="U5" s="66"/>
    </row>
    <row r="6" spans="1:25" s="105" customFormat="1" ht="15.75" x14ac:dyDescent="0.25">
      <c r="A6" s="61"/>
      <c r="B6" s="175" t="str">
        <f>+'07 Diet requirements'!B5</f>
        <v>Beef liver powder</v>
      </c>
      <c r="C6" s="230">
        <v>20</v>
      </c>
      <c r="D6" s="176">
        <f>+'07 Diet requirements'!D5</f>
        <v>2.2557149999999999</v>
      </c>
      <c r="E6" s="177">
        <f>+Number_of_weeks_with_releases_per_year</f>
        <v>52</v>
      </c>
      <c r="F6" s="178">
        <f t="shared" ref="F6:F12" si="0">+E6*D6</f>
        <v>117.29718</v>
      </c>
      <c r="G6" s="179">
        <f t="shared" ref="G6:G12" si="1">+F6*C6</f>
        <v>2345.9436000000001</v>
      </c>
      <c r="H6" s="62"/>
      <c r="I6" s="94"/>
      <c r="J6" s="65"/>
      <c r="K6" s="66"/>
      <c r="L6" s="66"/>
      <c r="M6" s="66"/>
      <c r="N6" s="66"/>
      <c r="O6" s="66"/>
      <c r="P6" s="66"/>
      <c r="Q6" s="66"/>
      <c r="R6" s="66"/>
      <c r="S6" s="66"/>
      <c r="T6" s="66"/>
      <c r="U6" s="66"/>
    </row>
    <row r="7" spans="1:25" s="105" customFormat="1" ht="15.75" x14ac:dyDescent="0.25">
      <c r="A7" s="61"/>
      <c r="B7" s="175" t="str">
        <f>+'07 Diet requirements'!B6</f>
        <v>Tuna meal</v>
      </c>
      <c r="C7" s="230">
        <f>8.3*0.8</f>
        <v>6.6400000000000006</v>
      </c>
      <c r="D7" s="176">
        <f>+'07 Diet requirements'!D6</f>
        <v>3.2224500000000003</v>
      </c>
      <c r="E7" s="177">
        <f>+E6</f>
        <v>52</v>
      </c>
      <c r="F7" s="178">
        <f t="shared" si="0"/>
        <v>167.56740000000002</v>
      </c>
      <c r="G7" s="179">
        <f t="shared" si="1"/>
        <v>1112.6475360000002</v>
      </c>
      <c r="H7" s="62"/>
      <c r="I7" s="64"/>
      <c r="J7" s="65"/>
      <c r="K7" s="66"/>
      <c r="L7" s="66"/>
      <c r="M7" s="66"/>
      <c r="N7" s="66"/>
      <c r="O7" s="66"/>
      <c r="P7" s="66"/>
      <c r="Q7" s="66"/>
      <c r="R7" s="66"/>
      <c r="S7" s="66"/>
      <c r="T7" s="66"/>
      <c r="U7" s="66"/>
    </row>
    <row r="8" spans="1:25" s="105" customFormat="1" ht="15.75" x14ac:dyDescent="0.25">
      <c r="A8" s="61"/>
      <c r="B8" s="175" t="str">
        <f>+'07 Diet requirements'!B7</f>
        <v>Brewer yeast</v>
      </c>
      <c r="C8" s="230">
        <v>6</v>
      </c>
      <c r="D8" s="176">
        <f>+'07 Diet requirements'!D7</f>
        <v>0.96673500000000001</v>
      </c>
      <c r="E8" s="177">
        <f>+E6</f>
        <v>52</v>
      </c>
      <c r="F8" s="178">
        <f t="shared" si="0"/>
        <v>50.270220000000002</v>
      </c>
      <c r="G8" s="179">
        <f t="shared" si="1"/>
        <v>301.62132000000003</v>
      </c>
      <c r="H8" s="62"/>
      <c r="J8" s="65"/>
      <c r="K8" s="66"/>
      <c r="L8" s="66"/>
      <c r="M8" s="66"/>
      <c r="N8" s="66"/>
      <c r="O8" s="66"/>
      <c r="P8" s="66"/>
      <c r="Q8" s="66"/>
      <c r="R8" s="66"/>
      <c r="S8" s="66"/>
      <c r="T8" s="66"/>
      <c r="U8" s="66"/>
    </row>
    <row r="9" spans="1:25" s="105" customFormat="1" ht="15.75" x14ac:dyDescent="0.25">
      <c r="A9" s="61"/>
      <c r="B9" s="180" t="s">
        <v>220</v>
      </c>
      <c r="C9" s="230">
        <v>8.3000000000000007</v>
      </c>
      <c r="D9" s="176">
        <f>+'07 Diet requirements'!D8</f>
        <v>0</v>
      </c>
      <c r="E9" s="177">
        <f>+E7</f>
        <v>52</v>
      </c>
      <c r="F9" s="178">
        <f t="shared" si="0"/>
        <v>0</v>
      </c>
      <c r="G9" s="179">
        <f t="shared" si="1"/>
        <v>0</v>
      </c>
      <c r="H9" s="62"/>
      <c r="J9" s="65"/>
      <c r="K9" s="66"/>
      <c r="L9" s="66"/>
      <c r="M9" s="66"/>
      <c r="N9" s="66"/>
      <c r="O9" s="66"/>
      <c r="P9" s="66"/>
      <c r="Q9" s="66"/>
      <c r="R9" s="66"/>
      <c r="S9" s="66"/>
      <c r="T9" s="66"/>
      <c r="U9" s="66"/>
    </row>
    <row r="10" spans="1:25" s="105" customFormat="1" ht="15.75" x14ac:dyDescent="0.25">
      <c r="A10" s="61"/>
      <c r="B10" s="180" t="s">
        <v>196</v>
      </c>
      <c r="C10" s="231"/>
      <c r="D10" s="176">
        <f>+'07 Diet requirements'!D9</f>
        <v>0</v>
      </c>
      <c r="E10" s="177">
        <f>+E8</f>
        <v>52</v>
      </c>
      <c r="F10" s="178">
        <f t="shared" si="0"/>
        <v>0</v>
      </c>
      <c r="G10" s="179">
        <f t="shared" si="1"/>
        <v>0</v>
      </c>
      <c r="H10" s="62"/>
      <c r="J10" s="65"/>
      <c r="K10" s="66"/>
      <c r="L10" s="66"/>
      <c r="M10" s="66"/>
      <c r="N10" s="66"/>
      <c r="O10" s="66"/>
      <c r="P10" s="66"/>
      <c r="Q10" s="66"/>
      <c r="R10" s="66"/>
      <c r="S10" s="66"/>
      <c r="T10" s="66"/>
      <c r="U10" s="66"/>
    </row>
    <row r="11" spans="1:25" s="105" customFormat="1" ht="15.75" x14ac:dyDescent="0.25">
      <c r="A11" s="61"/>
      <c r="B11" s="180" t="s">
        <v>197</v>
      </c>
      <c r="C11" s="231"/>
      <c r="D11" s="176">
        <f>+'07 Diet requirements'!D10</f>
        <v>0</v>
      </c>
      <c r="E11" s="177">
        <f>+E9</f>
        <v>52</v>
      </c>
      <c r="F11" s="178">
        <f t="shared" si="0"/>
        <v>0</v>
      </c>
      <c r="G11" s="179">
        <f t="shared" si="1"/>
        <v>0</v>
      </c>
      <c r="H11" s="62"/>
      <c r="J11" s="65"/>
      <c r="K11" s="66"/>
      <c r="L11" s="66"/>
      <c r="M11" s="66"/>
      <c r="N11" s="66"/>
      <c r="O11" s="66"/>
      <c r="P11" s="66"/>
      <c r="Q11" s="66"/>
      <c r="R11" s="66"/>
      <c r="S11" s="66"/>
      <c r="T11" s="66"/>
      <c r="U11" s="66"/>
    </row>
    <row r="12" spans="1:25" s="105" customFormat="1" ht="15.75" x14ac:dyDescent="0.25">
      <c r="A12" s="61"/>
      <c r="B12" s="175" t="str">
        <f>+'07 Diet requirements'!B12</f>
        <v>Water (including the initial load of trays)</v>
      </c>
      <c r="C12" s="232">
        <v>3</v>
      </c>
      <c r="D12" s="181">
        <f>+'11 Water'!E19/1000</f>
        <v>0.40068770000000009</v>
      </c>
      <c r="E12" s="177">
        <f>+E6</f>
        <v>52</v>
      </c>
      <c r="F12" s="182">
        <f t="shared" si="0"/>
        <v>20.835760400000005</v>
      </c>
      <c r="G12" s="179">
        <f t="shared" si="1"/>
        <v>62.507281200000016</v>
      </c>
      <c r="H12" s="62"/>
      <c r="I12" s="63"/>
      <c r="J12" s="65"/>
      <c r="K12" s="66"/>
      <c r="L12" s="66"/>
      <c r="M12" s="66"/>
      <c r="N12" s="66"/>
      <c r="O12" s="66"/>
      <c r="P12" s="66"/>
      <c r="Q12" s="66"/>
      <c r="R12" s="66"/>
      <c r="S12" s="66"/>
      <c r="T12" s="66"/>
      <c r="U12" s="66"/>
    </row>
    <row r="13" spans="1:25" s="105" customFormat="1" ht="15.75" x14ac:dyDescent="0.25">
      <c r="A13" s="61"/>
      <c r="B13" s="603" t="s">
        <v>124</v>
      </c>
      <c r="C13" s="602" t="s">
        <v>70</v>
      </c>
      <c r="D13" s="602" t="s">
        <v>103</v>
      </c>
      <c r="E13" s="602"/>
      <c r="F13" s="602"/>
      <c r="G13" s="602" t="s">
        <v>71</v>
      </c>
      <c r="H13" s="63"/>
      <c r="I13" s="64"/>
      <c r="J13" s="66"/>
      <c r="K13" s="66"/>
      <c r="L13" s="66"/>
      <c r="M13" s="66"/>
      <c r="N13" s="66"/>
      <c r="O13" s="66"/>
      <c r="P13" s="66"/>
      <c r="Q13" s="66"/>
      <c r="R13" s="66"/>
      <c r="S13" s="66"/>
      <c r="T13" s="66"/>
    </row>
    <row r="14" spans="1:25" s="105" customFormat="1" ht="15.75" x14ac:dyDescent="0.25">
      <c r="A14" s="61"/>
      <c r="B14" s="603"/>
      <c r="C14" s="602"/>
      <c r="D14" s="209" t="s">
        <v>123</v>
      </c>
      <c r="E14" s="209" t="s">
        <v>101</v>
      </c>
      <c r="F14" s="209" t="s">
        <v>0</v>
      </c>
      <c r="G14" s="602"/>
      <c r="H14" s="63"/>
      <c r="I14" s="64"/>
      <c r="J14" s="66"/>
      <c r="K14" s="66"/>
      <c r="L14" s="66"/>
      <c r="M14" s="66"/>
      <c r="N14" s="66"/>
      <c r="O14" s="66"/>
      <c r="P14" s="66"/>
      <c r="Q14" s="66"/>
      <c r="R14" s="66"/>
      <c r="S14" s="66"/>
      <c r="T14" s="66"/>
    </row>
    <row r="15" spans="1:25" s="105" customFormat="1" ht="15.75" x14ac:dyDescent="0.25">
      <c r="A15" s="61"/>
      <c r="B15" s="175" t="str">
        <f>+'07 Diet requirements'!B18</f>
        <v>Sugar for adult colony</v>
      </c>
      <c r="C15" s="231">
        <v>1.3</v>
      </c>
      <c r="D15" s="176">
        <f>+'07 Diet requirements'!D20</f>
        <v>11.423999999999999</v>
      </c>
      <c r="E15" s="177">
        <f>+E6</f>
        <v>52</v>
      </c>
      <c r="F15" s="178">
        <f>+D15*E15</f>
        <v>594.048</v>
      </c>
      <c r="G15" s="179">
        <f>+F15*C15</f>
        <v>772.26240000000007</v>
      </c>
      <c r="H15" s="62"/>
      <c r="I15" s="63"/>
      <c r="J15" s="66"/>
      <c r="K15" s="66"/>
      <c r="L15" s="66"/>
      <c r="M15" s="66"/>
      <c r="N15" s="66"/>
      <c r="O15" s="66"/>
      <c r="P15" s="66"/>
      <c r="Q15" s="66"/>
      <c r="R15" s="66"/>
      <c r="S15" s="66"/>
      <c r="T15" s="66"/>
    </row>
    <row r="16" spans="1:25" x14ac:dyDescent="0.2">
      <c r="A16" s="47"/>
      <c r="B16" s="175" t="str">
        <f>+'07 Diet requirements'!B21</f>
        <v xml:space="preserve">Blood </v>
      </c>
      <c r="C16" s="233">
        <v>2</v>
      </c>
      <c r="D16" s="183">
        <f>+'07 Diet requirements'!D22</f>
        <v>1.3387500000000001</v>
      </c>
      <c r="E16" s="177">
        <f>+E6</f>
        <v>52</v>
      </c>
      <c r="F16" s="184">
        <f>+D16*E16</f>
        <v>69.615000000000009</v>
      </c>
      <c r="G16" s="179">
        <f>+F16*C16</f>
        <v>139.23000000000002</v>
      </c>
      <c r="H16" s="59"/>
      <c r="I16" s="63"/>
      <c r="U16" s="104"/>
      <c r="V16" s="104"/>
      <c r="W16" s="104"/>
      <c r="X16" s="104"/>
      <c r="Y16" s="104"/>
    </row>
    <row r="17" spans="1:25" x14ac:dyDescent="0.2">
      <c r="A17" s="47"/>
      <c r="B17" s="604" t="s">
        <v>340</v>
      </c>
      <c r="C17" s="604"/>
      <c r="D17" s="604"/>
      <c r="E17" s="604"/>
      <c r="F17" s="604"/>
      <c r="G17" s="185">
        <f>+SUM(G6:G12)+SUM(G15:G16)</f>
        <v>4734.2121372000001</v>
      </c>
      <c r="H17" s="59"/>
      <c r="I17" s="63"/>
      <c r="U17" s="104"/>
      <c r="V17" s="104"/>
      <c r="W17" s="104"/>
      <c r="X17" s="104"/>
      <c r="Y17" s="104"/>
    </row>
    <row r="18" spans="1:25" ht="15" x14ac:dyDescent="0.2">
      <c r="A18" s="47"/>
      <c r="B18" s="61"/>
      <c r="C18" s="61"/>
      <c r="D18" s="61"/>
      <c r="E18" s="61"/>
      <c r="F18" s="61"/>
      <c r="G18" s="61"/>
      <c r="H18" s="59"/>
      <c r="I18" s="63"/>
      <c r="U18" s="104"/>
      <c r="V18" s="104"/>
      <c r="W18" s="104"/>
      <c r="X18" s="104"/>
      <c r="Y18" s="104"/>
    </row>
    <row r="19" spans="1:25" s="105" customFormat="1" ht="15.75" x14ac:dyDescent="0.25">
      <c r="A19" s="61"/>
      <c r="B19" s="603" t="s">
        <v>126</v>
      </c>
      <c r="C19" s="602" t="s">
        <v>70</v>
      </c>
      <c r="D19" s="602" t="s">
        <v>103</v>
      </c>
      <c r="E19" s="602"/>
      <c r="F19" s="602"/>
      <c r="G19" s="602" t="s">
        <v>71</v>
      </c>
      <c r="H19" s="61"/>
      <c r="I19" s="61"/>
      <c r="J19" s="65"/>
      <c r="K19" s="65"/>
      <c r="L19" s="65"/>
      <c r="M19" s="65"/>
      <c r="N19" s="65"/>
      <c r="O19" s="66"/>
      <c r="P19" s="66"/>
      <c r="Q19" s="66"/>
      <c r="R19" s="66"/>
      <c r="S19" s="66"/>
      <c r="T19" s="66"/>
      <c r="U19" s="66"/>
      <c r="V19" s="66"/>
      <c r="W19" s="66"/>
      <c r="X19" s="66"/>
      <c r="Y19" s="66"/>
    </row>
    <row r="20" spans="1:25" s="105" customFormat="1" ht="15.75" x14ac:dyDescent="0.25">
      <c r="A20" s="61"/>
      <c r="B20" s="603"/>
      <c r="C20" s="602"/>
      <c r="D20" s="209" t="s">
        <v>123</v>
      </c>
      <c r="E20" s="209" t="s">
        <v>101</v>
      </c>
      <c r="F20" s="209" t="s">
        <v>0</v>
      </c>
      <c r="G20" s="602"/>
      <c r="H20" s="61"/>
      <c r="I20" s="61"/>
      <c r="J20" s="65"/>
      <c r="K20" s="65"/>
      <c r="L20" s="65"/>
      <c r="M20" s="65"/>
      <c r="N20" s="65"/>
      <c r="O20" s="66"/>
      <c r="P20" s="66"/>
      <c r="Q20" s="66"/>
      <c r="R20" s="66"/>
      <c r="S20" s="66"/>
      <c r="T20" s="66"/>
      <c r="U20" s="66"/>
      <c r="V20" s="66"/>
      <c r="W20" s="66"/>
      <c r="X20" s="66"/>
      <c r="Y20" s="66"/>
    </row>
    <row r="21" spans="1:25" s="105" customFormat="1" ht="15.75" x14ac:dyDescent="0.25">
      <c r="A21" s="61"/>
      <c r="B21" s="174" t="s">
        <v>127</v>
      </c>
      <c r="C21" s="234">
        <v>1.5</v>
      </c>
      <c r="D21" s="186">
        <f>+'14 Workload'!C14*7</f>
        <v>7</v>
      </c>
      <c r="E21" s="187">
        <v>52</v>
      </c>
      <c r="F21" s="188">
        <f>+E21*D21</f>
        <v>364</v>
      </c>
      <c r="G21" s="189">
        <f>+F21*C21</f>
        <v>546</v>
      </c>
      <c r="H21" s="61"/>
      <c r="I21" s="61"/>
      <c r="J21" s="65"/>
      <c r="K21" s="65"/>
      <c r="L21" s="65"/>
      <c r="M21" s="65"/>
      <c r="N21" s="65"/>
      <c r="O21" s="66"/>
      <c r="P21" s="66"/>
      <c r="Q21" s="66"/>
      <c r="R21" s="66"/>
      <c r="S21" s="66"/>
      <c r="T21" s="66"/>
      <c r="U21" s="66"/>
      <c r="V21" s="66"/>
      <c r="W21" s="66"/>
      <c r="X21" s="66"/>
      <c r="Y21" s="66"/>
    </row>
    <row r="22" spans="1:25" s="105" customFormat="1" ht="26.25" x14ac:dyDescent="0.25">
      <c r="A22" s="61"/>
      <c r="B22" s="190" t="s">
        <v>128</v>
      </c>
      <c r="C22" s="235">
        <v>20</v>
      </c>
      <c r="D22" s="605"/>
      <c r="E22" s="605"/>
      <c r="F22" s="605"/>
      <c r="G22" s="189">
        <f>+(G17+G21)*C22/100</f>
        <v>1056.04242744</v>
      </c>
      <c r="H22" s="61"/>
      <c r="I22" s="61"/>
      <c r="J22" s="65"/>
      <c r="K22" s="65"/>
      <c r="L22" s="65"/>
      <c r="M22" s="65"/>
      <c r="N22" s="65"/>
      <c r="O22" s="66"/>
      <c r="P22" s="66"/>
      <c r="Q22" s="66"/>
      <c r="R22" s="66"/>
      <c r="S22" s="66"/>
      <c r="T22" s="66"/>
      <c r="U22" s="66"/>
      <c r="V22" s="66"/>
      <c r="W22" s="66"/>
      <c r="X22" s="66"/>
      <c r="Y22" s="66"/>
    </row>
    <row r="23" spans="1:25" ht="15" x14ac:dyDescent="0.2">
      <c r="B23" s="604" t="s">
        <v>339</v>
      </c>
      <c r="C23" s="604"/>
      <c r="D23" s="604"/>
      <c r="E23" s="604"/>
      <c r="F23" s="604"/>
      <c r="G23" s="185">
        <f>+G22+G21</f>
        <v>1602.04242744</v>
      </c>
      <c r="H23" s="61"/>
      <c r="J23" s="58"/>
      <c r="K23" s="58"/>
      <c r="L23" s="58"/>
      <c r="M23" s="58"/>
      <c r="N23" s="58"/>
    </row>
    <row r="24" spans="1:25" x14ac:dyDescent="0.2">
      <c r="A24" s="47"/>
      <c r="G24" s="88"/>
      <c r="H24" s="59"/>
      <c r="I24" s="63"/>
      <c r="U24" s="104"/>
      <c r="V24" s="104"/>
      <c r="W24" s="104"/>
      <c r="X24" s="104"/>
      <c r="Y24" s="104"/>
    </row>
    <row r="25" spans="1:25" ht="15" x14ac:dyDescent="0.2">
      <c r="E25" s="227"/>
      <c r="F25" s="228" t="s">
        <v>129</v>
      </c>
      <c r="G25" s="229">
        <f>+G23+G17</f>
        <v>6336.2545646400004</v>
      </c>
      <c r="H25" s="61"/>
      <c r="J25" s="58"/>
      <c r="K25" s="58"/>
      <c r="L25" s="58"/>
      <c r="M25" s="58"/>
      <c r="N25" s="58"/>
    </row>
    <row r="26" spans="1:25" ht="15" x14ac:dyDescent="0.2">
      <c r="H26" s="61"/>
      <c r="J26" s="58"/>
      <c r="K26" s="58"/>
      <c r="L26" s="58"/>
      <c r="M26" s="58"/>
      <c r="N26" s="58"/>
    </row>
    <row r="27" spans="1:25" x14ac:dyDescent="0.2">
      <c r="J27" s="58"/>
      <c r="K27" s="58"/>
      <c r="L27" s="58"/>
      <c r="M27" s="58"/>
      <c r="N27" s="58"/>
    </row>
    <row r="28" spans="1:25" x14ac:dyDescent="0.2">
      <c r="J28" s="58"/>
      <c r="K28" s="58"/>
      <c r="L28" s="58"/>
      <c r="M28" s="58"/>
      <c r="N28" s="58"/>
    </row>
    <row r="29" spans="1:25" x14ac:dyDescent="0.2">
      <c r="J29" s="58"/>
      <c r="K29" s="58"/>
      <c r="L29" s="58"/>
      <c r="M29" s="58"/>
      <c r="N29" s="58"/>
    </row>
    <row r="30" spans="1:25" x14ac:dyDescent="0.2">
      <c r="J30" s="58"/>
      <c r="K30" s="58"/>
      <c r="L30" s="58"/>
      <c r="M30" s="58"/>
      <c r="N30" s="58"/>
    </row>
    <row r="31" spans="1:25" x14ac:dyDescent="0.2">
      <c r="J31" s="58"/>
      <c r="K31" s="58"/>
      <c r="L31" s="58"/>
      <c r="M31" s="58"/>
      <c r="N31" s="58"/>
    </row>
    <row r="32" spans="1:25" x14ac:dyDescent="0.2">
      <c r="J32" s="58"/>
      <c r="K32" s="58"/>
      <c r="L32" s="58"/>
      <c r="M32" s="58"/>
      <c r="N32" s="58"/>
    </row>
    <row r="33" spans="10:14" x14ac:dyDescent="0.2">
      <c r="J33" s="58"/>
      <c r="K33" s="58"/>
      <c r="L33" s="58"/>
      <c r="M33" s="58"/>
      <c r="N33" s="58"/>
    </row>
    <row r="34" spans="10:14" x14ac:dyDescent="0.2">
      <c r="J34" s="58"/>
      <c r="K34" s="58"/>
      <c r="L34" s="58"/>
      <c r="M34" s="58"/>
      <c r="N34" s="58"/>
    </row>
    <row r="35" spans="10:14" x14ac:dyDescent="0.2">
      <c r="J35" s="58"/>
      <c r="K35" s="58"/>
      <c r="L35" s="58"/>
      <c r="M35" s="58"/>
      <c r="N35" s="58"/>
    </row>
    <row r="36" spans="10:14" x14ac:dyDescent="0.2">
      <c r="J36" s="58"/>
      <c r="K36" s="58"/>
      <c r="L36" s="58"/>
      <c r="M36" s="58"/>
      <c r="N36" s="58"/>
    </row>
    <row r="37" spans="10:14" x14ac:dyDescent="0.2">
      <c r="J37" s="58"/>
      <c r="K37" s="58"/>
      <c r="L37" s="58"/>
      <c r="M37" s="58"/>
      <c r="N37" s="58"/>
    </row>
    <row r="38" spans="10:14" x14ac:dyDescent="0.2">
      <c r="J38" s="58"/>
      <c r="K38" s="58"/>
      <c r="L38" s="58"/>
      <c r="M38" s="58"/>
      <c r="N38" s="58"/>
    </row>
    <row r="39" spans="10:14" x14ac:dyDescent="0.2">
      <c r="J39" s="58"/>
      <c r="K39" s="58"/>
      <c r="L39" s="58"/>
      <c r="M39" s="58"/>
      <c r="N39" s="58"/>
    </row>
  </sheetData>
  <sheetProtection algorithmName="SHA-512" hashValue="5dLhJl6TjUKSjusscxwH2S4Z/WEi6nYr301mEFMSMGQU7yQi1THuHd6KhokLA/2ai3/e8L20Q9uQblS6z0bspQ==" saltValue="xnwu/CmIRUBD+8r+uBOFOA==" spinCount="100000" sheet="1" objects="1" scenarios="1"/>
  <mergeCells count="16">
    <mergeCell ref="G19:G20"/>
    <mergeCell ref="B23:F23"/>
    <mergeCell ref="D22:F22"/>
    <mergeCell ref="B19:B20"/>
    <mergeCell ref="C19:C20"/>
    <mergeCell ref="D19:F19"/>
    <mergeCell ref="B17:F17"/>
    <mergeCell ref="B13:B14"/>
    <mergeCell ref="C13:C14"/>
    <mergeCell ref="G13:G14"/>
    <mergeCell ref="D13:F13"/>
    <mergeCell ref="B2:G2"/>
    <mergeCell ref="G4:G5"/>
    <mergeCell ref="C4:C5"/>
    <mergeCell ref="B4:B5"/>
    <mergeCell ref="D4:F4"/>
  </mergeCells>
  <phoneticPr fontId="11" type="noConversion"/>
  <pageMargins left="0.75" right="0.75" top="0.46" bottom="0.38" header="0" footer="0"/>
  <pageSetup paperSize="9" scale="45" orientation="landscape" horizontalDpi="300" r:id="rId1"/>
  <headerFooter alignWithMargins="0">
    <oddFooter>&amp;L&amp;"David,רגיל"IBEX Advanced Business Consulting Ltd.&amp;R&amp;"David,רגיל"&amp;D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C8:M28"/>
  <sheetViews>
    <sheetView zoomScale="110" zoomScaleNormal="110" workbookViewId="0"/>
  </sheetViews>
  <sheetFormatPr defaultColWidth="11.42578125" defaultRowHeight="12.75" x14ac:dyDescent="0.2"/>
  <cols>
    <col min="1" max="3" width="7.140625" style="67" customWidth="1"/>
    <col min="4" max="6" width="9.140625" style="67" customWidth="1"/>
    <col min="7" max="7" width="7.7109375" style="67" customWidth="1"/>
    <col min="8" max="16384" width="11.42578125" style="67"/>
  </cols>
  <sheetData>
    <row r="8" spans="3:13" ht="12.75" customHeight="1" x14ac:dyDescent="0.2">
      <c r="C8" s="76"/>
      <c r="D8" s="76"/>
      <c r="E8" s="76"/>
      <c r="F8" s="76"/>
      <c r="G8" s="76"/>
      <c r="H8" s="76"/>
      <c r="I8" s="76"/>
      <c r="J8" s="76"/>
      <c r="K8" s="76"/>
      <c r="L8" s="76"/>
      <c r="M8" s="76"/>
    </row>
    <row r="9" spans="3:13" x14ac:dyDescent="0.2">
      <c r="C9" s="76"/>
      <c r="D9" s="76"/>
      <c r="E9" s="76"/>
      <c r="F9" s="76"/>
      <c r="G9" s="76"/>
      <c r="H9" s="76"/>
      <c r="I9" s="76"/>
      <c r="J9" s="76"/>
      <c r="K9" s="76"/>
      <c r="L9" s="76"/>
      <c r="M9" s="76"/>
    </row>
    <row r="10" spans="3:13" x14ac:dyDescent="0.2">
      <c r="C10" s="76"/>
      <c r="D10" s="76"/>
      <c r="E10" s="76"/>
      <c r="F10" s="76"/>
      <c r="G10" s="76"/>
      <c r="H10" s="76"/>
      <c r="I10" s="76"/>
      <c r="J10" s="76"/>
      <c r="K10" s="76"/>
      <c r="L10" s="76"/>
      <c r="M10" s="76"/>
    </row>
    <row r="11" spans="3:13" x14ac:dyDescent="0.2">
      <c r="C11" s="76"/>
      <c r="D11" s="76"/>
      <c r="E11" s="76"/>
      <c r="F11" s="76"/>
      <c r="G11" s="76"/>
      <c r="H11" s="76"/>
      <c r="I11" s="76"/>
      <c r="J11" s="76"/>
      <c r="K11" s="76"/>
      <c r="L11" s="76"/>
      <c r="M11" s="76"/>
    </row>
    <row r="12" spans="3:13" x14ac:dyDescent="0.2">
      <c r="C12" s="76"/>
      <c r="D12" s="76"/>
      <c r="E12" s="76"/>
      <c r="F12" s="76"/>
      <c r="G12" s="76"/>
      <c r="H12" s="76"/>
      <c r="I12" s="76"/>
      <c r="J12" s="76"/>
      <c r="K12" s="76"/>
      <c r="L12" s="76"/>
      <c r="M12" s="76"/>
    </row>
    <row r="13" spans="3:13" x14ac:dyDescent="0.2">
      <c r="C13" s="76"/>
      <c r="D13" s="76"/>
      <c r="E13" s="76"/>
      <c r="F13" s="76"/>
      <c r="G13" s="76"/>
      <c r="H13" s="76"/>
      <c r="I13" s="76"/>
      <c r="J13" s="76"/>
      <c r="K13" s="76"/>
      <c r="L13" s="76"/>
      <c r="M13" s="76"/>
    </row>
    <row r="14" spans="3:13" x14ac:dyDescent="0.2">
      <c r="C14" s="76"/>
      <c r="D14" s="76"/>
      <c r="E14" s="76"/>
      <c r="F14" s="76"/>
      <c r="G14" s="76"/>
      <c r="H14" s="76"/>
      <c r="I14" s="76"/>
      <c r="J14" s="76"/>
      <c r="K14" s="76"/>
      <c r="L14" s="76"/>
      <c r="M14" s="76"/>
    </row>
    <row r="15" spans="3:13" x14ac:dyDescent="0.2">
      <c r="C15" s="76"/>
      <c r="D15" s="76"/>
      <c r="E15" s="76"/>
      <c r="F15" s="76"/>
      <c r="G15" s="76"/>
      <c r="H15" s="76"/>
      <c r="I15" s="76"/>
      <c r="J15" s="76"/>
      <c r="K15" s="76"/>
      <c r="L15" s="76"/>
      <c r="M15" s="76"/>
    </row>
    <row r="16" spans="3:13" x14ac:dyDescent="0.2">
      <c r="C16" s="76"/>
      <c r="D16" s="76"/>
      <c r="E16" s="76"/>
      <c r="F16" s="76"/>
      <c r="G16" s="76"/>
      <c r="H16" s="76"/>
      <c r="I16" s="76"/>
      <c r="J16" s="76"/>
      <c r="K16" s="76"/>
      <c r="L16" s="76"/>
      <c r="M16" s="76"/>
    </row>
    <row r="17" spans="3:13" x14ac:dyDescent="0.2">
      <c r="C17" s="76"/>
      <c r="D17" s="76"/>
      <c r="E17" s="76"/>
      <c r="F17" s="76"/>
      <c r="G17" s="76"/>
      <c r="H17" s="76"/>
      <c r="I17" s="76"/>
      <c r="J17" s="76"/>
      <c r="K17" s="76"/>
      <c r="L17" s="76"/>
      <c r="M17" s="76"/>
    </row>
    <row r="18" spans="3:13" x14ac:dyDescent="0.2">
      <c r="C18" s="76"/>
      <c r="D18" s="76"/>
      <c r="E18" s="76"/>
      <c r="F18" s="76"/>
      <c r="G18" s="76"/>
      <c r="H18" s="76"/>
      <c r="I18" s="76"/>
      <c r="J18" s="76"/>
      <c r="K18" s="76"/>
      <c r="L18" s="76"/>
      <c r="M18" s="76"/>
    </row>
    <row r="19" spans="3:13" x14ac:dyDescent="0.2">
      <c r="C19" s="76"/>
      <c r="D19" s="76"/>
      <c r="E19" s="76"/>
      <c r="F19" s="76"/>
      <c r="G19" s="76"/>
      <c r="H19" s="76"/>
      <c r="I19" s="76"/>
      <c r="J19" s="76"/>
      <c r="K19" s="76"/>
      <c r="L19" s="76"/>
      <c r="M19" s="76"/>
    </row>
    <row r="20" spans="3:13" x14ac:dyDescent="0.2">
      <c r="C20" s="76"/>
      <c r="D20" s="76"/>
      <c r="E20" s="76"/>
      <c r="F20" s="76"/>
      <c r="G20" s="76"/>
      <c r="H20" s="76"/>
      <c r="I20" s="76"/>
      <c r="J20" s="76"/>
      <c r="K20" s="76"/>
      <c r="L20" s="76"/>
      <c r="M20" s="76"/>
    </row>
    <row r="21" spans="3:13" x14ac:dyDescent="0.2">
      <c r="C21" s="76"/>
      <c r="D21" s="76"/>
      <c r="E21" s="76"/>
      <c r="F21" s="76"/>
      <c r="G21" s="76"/>
      <c r="H21" s="76"/>
      <c r="I21" s="76"/>
      <c r="J21" s="76"/>
      <c r="K21" s="76"/>
      <c r="L21" s="76"/>
      <c r="M21" s="76"/>
    </row>
    <row r="22" spans="3:13" x14ac:dyDescent="0.2">
      <c r="C22" s="76"/>
      <c r="D22" s="76"/>
      <c r="E22" s="76"/>
      <c r="F22" s="76"/>
      <c r="G22" s="76"/>
      <c r="H22" s="76"/>
      <c r="I22" s="76"/>
      <c r="J22" s="76"/>
      <c r="K22" s="76"/>
      <c r="L22" s="76"/>
      <c r="M22" s="76"/>
    </row>
    <row r="23" spans="3:13" x14ac:dyDescent="0.2">
      <c r="C23" s="76"/>
      <c r="D23" s="76"/>
      <c r="E23" s="76"/>
      <c r="F23" s="76"/>
      <c r="G23" s="76"/>
      <c r="H23" s="76"/>
      <c r="I23" s="76"/>
      <c r="J23" s="76"/>
      <c r="K23" s="76"/>
      <c r="L23" s="76"/>
      <c r="M23" s="76"/>
    </row>
    <row r="24" spans="3:13" x14ac:dyDescent="0.2">
      <c r="C24" s="76"/>
      <c r="D24" s="76"/>
      <c r="E24" s="76"/>
      <c r="F24" s="76"/>
      <c r="G24" s="76"/>
      <c r="H24" s="76"/>
      <c r="I24" s="76"/>
      <c r="J24" s="76"/>
      <c r="K24" s="76"/>
      <c r="L24" s="76"/>
      <c r="M24" s="76"/>
    </row>
    <row r="25" spans="3:13" x14ac:dyDescent="0.2">
      <c r="C25" s="76"/>
      <c r="D25" s="76"/>
      <c r="E25" s="76"/>
      <c r="F25" s="76"/>
      <c r="G25" s="76"/>
      <c r="H25" s="76"/>
      <c r="I25" s="76"/>
      <c r="J25" s="76"/>
      <c r="K25" s="76"/>
      <c r="L25" s="76"/>
      <c r="M25" s="76"/>
    </row>
    <row r="26" spans="3:13" x14ac:dyDescent="0.2">
      <c r="C26" s="76"/>
      <c r="D26" s="76"/>
      <c r="E26" s="76"/>
      <c r="F26" s="76"/>
      <c r="G26" s="76"/>
      <c r="H26" s="76"/>
      <c r="I26" s="76"/>
      <c r="J26" s="76"/>
      <c r="K26" s="76"/>
      <c r="L26" s="76"/>
      <c r="M26" s="76"/>
    </row>
    <row r="27" spans="3:13" x14ac:dyDescent="0.2">
      <c r="C27" s="76"/>
      <c r="D27" s="76"/>
      <c r="E27" s="76"/>
      <c r="F27" s="76"/>
      <c r="G27" s="76"/>
      <c r="H27" s="76"/>
      <c r="I27" s="76"/>
      <c r="J27" s="76"/>
      <c r="K27" s="76"/>
      <c r="L27" s="76"/>
      <c r="M27" s="76"/>
    </row>
    <row r="28" spans="3:13" x14ac:dyDescent="0.2">
      <c r="C28" s="76"/>
      <c r="D28" s="76"/>
      <c r="E28" s="76"/>
      <c r="F28" s="76"/>
      <c r="G28" s="76"/>
      <c r="H28" s="76"/>
      <c r="I28" s="76"/>
      <c r="J28" s="76"/>
      <c r="K28" s="76"/>
      <c r="L28" s="76"/>
      <c r="M28" s="76"/>
    </row>
  </sheetData>
  <sheetProtection formatCells="0" formatColumns="0" formatRows="0" insertColumns="0" insertRows="0" insertHyperlinks="0" deleteColumns="0" deleteRows="0" sort="0" autoFilter="0" pivotTables="0"/>
  <phoneticPr fontId="0" type="noConversion"/>
  <pageMargins left="0.75" right="0.75" top="1" bottom="1" header="0.5" footer="0.5"/>
  <pageSetup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E12"/>
  <sheetViews>
    <sheetView zoomScaleNormal="100" workbookViewId="0">
      <selection activeCell="D4" sqref="D4:D5"/>
    </sheetView>
  </sheetViews>
  <sheetFormatPr defaultColWidth="11.42578125" defaultRowHeight="12.75" x14ac:dyDescent="0.2"/>
  <cols>
    <col min="1" max="1" width="4.42578125" style="70" customWidth="1"/>
    <col min="2" max="2" width="30.7109375" style="19" customWidth="1"/>
    <col min="3" max="3" width="19.42578125" style="19" customWidth="1"/>
    <col min="4" max="4" width="26" style="70" customWidth="1"/>
    <col min="5" max="5" width="12.7109375" style="70" customWidth="1"/>
    <col min="6" max="7" width="11.42578125" style="70"/>
    <col min="8" max="8" width="14.5703125" style="70" customWidth="1"/>
    <col min="9" max="16384" width="11.42578125" style="70"/>
  </cols>
  <sheetData>
    <row r="1" spans="1:5" s="67" customFormat="1" x14ac:dyDescent="0.2"/>
    <row r="2" spans="1:5" s="67" customFormat="1" ht="38.25" customHeight="1" x14ac:dyDescent="0.2">
      <c r="B2" s="529" t="s">
        <v>350</v>
      </c>
      <c r="C2" s="529"/>
      <c r="D2" s="529"/>
    </row>
    <row r="3" spans="1:5" s="69" customFormat="1" x14ac:dyDescent="0.2">
      <c r="A3" s="68"/>
      <c r="E3" s="15"/>
    </row>
    <row r="4" spans="1:5" x14ac:dyDescent="0.2">
      <c r="A4" s="68"/>
      <c r="B4" s="530" t="s">
        <v>108</v>
      </c>
      <c r="C4" s="530"/>
      <c r="D4" s="449">
        <v>1</v>
      </c>
      <c r="E4" s="16"/>
    </row>
    <row r="5" spans="1:5" ht="12.75" customHeight="1" x14ac:dyDescent="0.2">
      <c r="A5" s="68"/>
      <c r="B5" s="530" t="s">
        <v>122</v>
      </c>
      <c r="C5" s="530"/>
      <c r="D5" s="450">
        <v>52</v>
      </c>
      <c r="E5" s="17"/>
    </row>
    <row r="6" spans="1:5" x14ac:dyDescent="0.2">
      <c r="A6" s="68"/>
      <c r="B6" s="18"/>
      <c r="C6" s="18"/>
      <c r="D6" s="18"/>
      <c r="E6" s="15"/>
    </row>
    <row r="12" spans="1:5" x14ac:dyDescent="0.2">
      <c r="D12" s="69"/>
    </row>
  </sheetData>
  <sheetProtection algorithmName="SHA-512" hashValue="K9eVJOQ90XoYSqallAIzM78LAUjJ3HJSfb5LzdfJQqKsauRNR40Aaf3rXJoJBnp9wrN9+daRoD2UzovIDF77ng==" saltValue="Xd3IWUCVq4IT8ky4h9BizQ==" spinCount="100000" sheet="1" formatCells="0" formatColumns="0" formatRows="0" insertColumns="0" insertRows="0" insertHyperlinks="0" deleteColumns="0" deleteRows="0" sort="0" autoFilter="0" pivotTables="0"/>
  <mergeCells count="3">
    <mergeCell ref="B2:D2"/>
    <mergeCell ref="B4:C4"/>
    <mergeCell ref="B5:C5"/>
  </mergeCells>
  <phoneticPr fontId="0" type="noConversion"/>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X50"/>
  <sheetViews>
    <sheetView zoomScaleNormal="100" workbookViewId="0">
      <selection activeCell="B12" sqref="B12"/>
    </sheetView>
  </sheetViews>
  <sheetFormatPr defaultColWidth="11.42578125" defaultRowHeight="12.75" x14ac:dyDescent="0.2"/>
  <cols>
    <col min="1" max="1" width="5.85546875" style="67" customWidth="1"/>
    <col min="2" max="2" width="21.85546875" style="67" customWidth="1"/>
    <col min="3" max="3" width="4.42578125" style="67" customWidth="1"/>
    <col min="4" max="4" width="11.42578125" style="67" customWidth="1"/>
    <col min="5" max="5" width="8.7109375" style="67" customWidth="1"/>
    <col min="6" max="6" width="11.42578125" style="67" customWidth="1"/>
    <col min="7" max="8" width="4" style="67" customWidth="1"/>
    <col min="9" max="9" width="28.5703125" style="67" customWidth="1"/>
    <col min="10" max="10" width="6.7109375" style="67" customWidth="1"/>
    <col min="11" max="12" width="11.42578125" style="67" customWidth="1"/>
    <col min="13" max="13" width="6.7109375" style="67" customWidth="1"/>
    <col min="14" max="14" width="18.42578125" style="67" customWidth="1"/>
    <col min="15" max="15" width="11.42578125" style="67" customWidth="1"/>
    <col min="16" max="16" width="11.5703125" style="67" customWidth="1"/>
    <col min="17" max="17" width="11.42578125" style="67" customWidth="1"/>
    <col min="18" max="18" width="21.140625" style="106" customWidth="1"/>
    <col min="19" max="16384" width="11.42578125" style="67"/>
  </cols>
  <sheetData>
    <row r="2" spans="2:18" ht="22.5" customHeight="1" x14ac:dyDescent="0.2">
      <c r="B2" s="531" t="s">
        <v>351</v>
      </c>
      <c r="C2" s="532"/>
      <c r="D2" s="532"/>
      <c r="E2" s="532"/>
      <c r="F2" s="532"/>
      <c r="G2" s="532"/>
      <c r="H2" s="532"/>
      <c r="I2" s="532"/>
      <c r="J2" s="532"/>
      <c r="K2" s="532"/>
      <c r="L2" s="532"/>
      <c r="M2" s="532"/>
      <c r="N2" s="532"/>
      <c r="O2" s="532"/>
      <c r="P2" s="532"/>
      <c r="Q2" s="532"/>
      <c r="R2" s="533"/>
    </row>
    <row r="3" spans="2:18" x14ac:dyDescent="0.2">
      <c r="B3" s="535"/>
      <c r="C3" s="535"/>
      <c r="D3" s="535"/>
      <c r="E3" s="535"/>
      <c r="F3" s="535"/>
      <c r="G3" s="535"/>
      <c r="H3" s="535"/>
      <c r="I3" s="535"/>
      <c r="J3" s="535"/>
      <c r="K3" s="535"/>
      <c r="L3" s="535"/>
      <c r="M3" s="535"/>
      <c r="N3" s="535"/>
      <c r="O3" s="535"/>
      <c r="P3" s="535"/>
      <c r="Q3" s="535"/>
    </row>
    <row r="4" spans="2:18" x14ac:dyDescent="0.2">
      <c r="Q4" s="72" t="s">
        <v>76</v>
      </c>
      <c r="R4" s="67"/>
    </row>
    <row r="5" spans="2:18" x14ac:dyDescent="0.2">
      <c r="R5" s="67"/>
    </row>
    <row r="6" spans="2:18" x14ac:dyDescent="0.2">
      <c r="Q6" s="69" t="s">
        <v>125</v>
      </c>
      <c r="R6" s="67"/>
    </row>
    <row r="7" spans="2:18" x14ac:dyDescent="0.2">
      <c r="B7" s="119">
        <f>+eggs_to_be_hatched_per_day_for_male_only_production</f>
        <v>0.65432332774242741</v>
      </c>
      <c r="R7" s="67"/>
    </row>
    <row r="8" spans="2:18" x14ac:dyDescent="0.2">
      <c r="B8" s="69"/>
      <c r="Q8" s="69" t="s">
        <v>187</v>
      </c>
      <c r="R8" s="67"/>
    </row>
    <row r="9" spans="2:18" x14ac:dyDescent="0.2">
      <c r="B9" s="120">
        <f>+Number_of_MO_larval_trays_to_be_loaded_with_L1_per_day</f>
        <v>31</v>
      </c>
      <c r="R9" s="67"/>
    </row>
    <row r="10" spans="2:18" x14ac:dyDescent="0.2">
      <c r="B10" s="69"/>
      <c r="R10" s="67"/>
    </row>
    <row r="11" spans="2:18" x14ac:dyDescent="0.2">
      <c r="B11" s="69"/>
      <c r="Q11" s="72" t="s">
        <v>72</v>
      </c>
      <c r="R11" s="67"/>
    </row>
    <row r="12" spans="2:18" x14ac:dyDescent="0.2">
      <c r="B12" s="120">
        <f>+Number_of_MO_larval_trays_to_be_loaded_with_L1_per_day*(COUNTIF('06 Diet formulation'!C15:C20,"&gt;0"))</f>
        <v>186</v>
      </c>
      <c r="R12" s="67"/>
    </row>
    <row r="13" spans="2:18" x14ac:dyDescent="0.2">
      <c r="B13" s="69"/>
      <c r="H13" s="69"/>
      <c r="I13" s="69"/>
      <c r="J13" s="69"/>
      <c r="Q13" s="72" t="s">
        <v>73</v>
      </c>
      <c r="R13" s="67"/>
    </row>
    <row r="14" spans="2:18" x14ac:dyDescent="0.2">
      <c r="B14" s="69"/>
      <c r="H14" s="69"/>
      <c r="I14" s="69"/>
      <c r="J14" s="69"/>
      <c r="R14" s="67"/>
    </row>
    <row r="15" spans="2:18" x14ac:dyDescent="0.2">
      <c r="B15" s="69"/>
      <c r="H15" s="69"/>
      <c r="I15" s="69"/>
      <c r="J15" s="69"/>
      <c r="Q15" s="72" t="s">
        <v>74</v>
      </c>
      <c r="R15" s="67"/>
    </row>
    <row r="16" spans="2:18" x14ac:dyDescent="0.2">
      <c r="B16" s="120">
        <f>+B9</f>
        <v>31</v>
      </c>
      <c r="H16" s="69"/>
      <c r="I16" s="166">
        <f>+'09 Rearing Equip.'!C36</f>
        <v>0.4099949052631579</v>
      </c>
      <c r="J16" s="69"/>
      <c r="R16" s="67"/>
    </row>
    <row r="17" spans="2:24" x14ac:dyDescent="0.2">
      <c r="B17" s="69"/>
      <c r="H17" s="69"/>
      <c r="I17" s="69"/>
      <c r="J17" s="69"/>
      <c r="Q17" s="72" t="s">
        <v>75</v>
      </c>
      <c r="R17" s="67"/>
    </row>
    <row r="18" spans="2:24" x14ac:dyDescent="0.2">
      <c r="B18" s="69"/>
      <c r="J18" s="69"/>
      <c r="Q18" s="73"/>
    </row>
    <row r="19" spans="2:24" x14ac:dyDescent="0.2">
      <c r="B19" s="69"/>
      <c r="H19" s="534">
        <f>+(male_pupae_recovery_after_first_sorting+female_pupae_recovery_after_first_sorting)/('03 Pro Par'!I8+'03 Pro Par'!I9)*100</f>
        <v>53.608247422680414</v>
      </c>
      <c r="I19" s="534"/>
      <c r="J19" s="69"/>
      <c r="N19" s="123">
        <f>+'04 Release Facility'!C8</f>
        <v>1</v>
      </c>
      <c r="Q19" s="73"/>
    </row>
    <row r="20" spans="2:24" x14ac:dyDescent="0.2">
      <c r="B20" s="120">
        <f>+B16</f>
        <v>31</v>
      </c>
      <c r="H20" s="536">
        <f>+male_pupae_recovery_after_first_sorting/(male_pupae_recovery_after_first_sorting+female_pupae_recovery_after_first_sorting)*100</f>
        <v>75</v>
      </c>
      <c r="I20" s="536"/>
      <c r="J20" s="69"/>
    </row>
    <row r="21" spans="2:24" x14ac:dyDescent="0.2">
      <c r="B21" s="69"/>
      <c r="H21" s="69"/>
      <c r="I21" s="69"/>
      <c r="J21" s="69"/>
    </row>
    <row r="22" spans="2:24" x14ac:dyDescent="0.2">
      <c r="B22" s="69"/>
      <c r="H22" s="69"/>
      <c r="J22" s="69"/>
      <c r="N22" s="124">
        <f>+MO_cages_loaded_per_day</f>
        <v>15</v>
      </c>
    </row>
    <row r="23" spans="2:24" x14ac:dyDescent="0.2">
      <c r="B23" s="122">
        <f>+Cage_units_to_be_loaded_per_day_to_produce_the_eggs_for_stockpiling</f>
        <v>1</v>
      </c>
      <c r="H23" s="69"/>
      <c r="I23" s="69"/>
      <c r="J23" s="69"/>
    </row>
    <row r="24" spans="2:24" x14ac:dyDescent="0.2">
      <c r="B24" s="69"/>
      <c r="H24" s="69"/>
      <c r="I24" s="69"/>
      <c r="J24" s="69"/>
      <c r="W24" s="73"/>
      <c r="X24" s="106"/>
    </row>
    <row r="25" spans="2:24" x14ac:dyDescent="0.2">
      <c r="B25" s="69"/>
      <c r="H25" s="69"/>
      <c r="I25" s="534"/>
      <c r="J25" s="534"/>
      <c r="W25" s="73"/>
      <c r="X25" s="106"/>
    </row>
    <row r="26" spans="2:24" x14ac:dyDescent="0.2">
      <c r="B26" s="69"/>
      <c r="H26" s="69"/>
      <c r="J26" s="69"/>
      <c r="W26" s="73"/>
      <c r="X26" s="106"/>
    </row>
    <row r="27" spans="2:24" x14ac:dyDescent="0.2">
      <c r="B27" s="69"/>
      <c r="H27" s="69"/>
      <c r="I27" s="69"/>
      <c r="J27" s="69"/>
      <c r="W27" s="73"/>
      <c r="X27" s="106"/>
    </row>
    <row r="28" spans="2:24" x14ac:dyDescent="0.2">
      <c r="B28" s="122">
        <f>+'09 Rearing Equip.'!C81</f>
        <v>9.5</v>
      </c>
      <c r="H28" s="69"/>
      <c r="I28" s="69"/>
      <c r="J28" s="69"/>
      <c r="W28" s="73"/>
      <c r="X28" s="106"/>
    </row>
    <row r="29" spans="2:24" x14ac:dyDescent="0.2">
      <c r="B29" s="69"/>
      <c r="H29" s="69"/>
      <c r="I29" s="69"/>
      <c r="J29" s="69"/>
    </row>
    <row r="30" spans="2:24" x14ac:dyDescent="0.2">
      <c r="B30" s="69"/>
      <c r="H30" s="69"/>
      <c r="I30" s="69"/>
      <c r="J30" s="69"/>
    </row>
    <row r="31" spans="2:24" x14ac:dyDescent="0.2">
      <c r="B31" s="69"/>
      <c r="H31" s="69"/>
      <c r="I31" s="69"/>
      <c r="J31" s="69"/>
    </row>
    <row r="32" spans="2:24" x14ac:dyDescent="0.2">
      <c r="B32" s="69"/>
      <c r="H32" s="69"/>
      <c r="I32" s="69"/>
      <c r="J32" s="69"/>
    </row>
    <row r="33" spans="2:18" x14ac:dyDescent="0.2">
      <c r="B33" s="122">
        <f>+Oviposition_cages_permanently_in_use_for_MO_egg_production/frequency_of_egg_collection</f>
        <v>4.666666666666667</v>
      </c>
      <c r="H33" s="69"/>
      <c r="I33" s="69"/>
      <c r="J33" s="69"/>
    </row>
    <row r="34" spans="2:18" x14ac:dyDescent="0.2">
      <c r="B34" s="121"/>
      <c r="H34" s="69"/>
      <c r="I34" s="69"/>
      <c r="J34" s="69"/>
      <c r="Q34" s="73"/>
    </row>
    <row r="35" spans="2:18" x14ac:dyDescent="0.2">
      <c r="B35" s="121"/>
      <c r="H35" s="69"/>
      <c r="I35" s="69"/>
      <c r="J35" s="69"/>
      <c r="Q35" s="73"/>
    </row>
    <row r="36" spans="2:18" x14ac:dyDescent="0.2">
      <c r="B36" s="121"/>
      <c r="H36" s="69"/>
      <c r="I36" s="69"/>
      <c r="J36" s="69"/>
      <c r="Q36" s="73"/>
    </row>
    <row r="37" spans="2:18" x14ac:dyDescent="0.2">
      <c r="B37" s="121"/>
      <c r="H37" s="69"/>
      <c r="I37" s="69"/>
      <c r="J37" s="69"/>
      <c r="N37" s="123">
        <f>+N19</f>
        <v>1</v>
      </c>
      <c r="Q37" s="73"/>
    </row>
    <row r="38" spans="2:18" x14ac:dyDescent="0.2">
      <c r="H38" s="69"/>
      <c r="I38" s="69"/>
      <c r="J38" s="69"/>
      <c r="Q38" s="73"/>
      <c r="R38" s="112"/>
    </row>
    <row r="39" spans="2:18" x14ac:dyDescent="0.2">
      <c r="B39" s="121"/>
      <c r="H39" s="69"/>
      <c r="I39" s="69"/>
      <c r="J39" s="69"/>
    </row>
    <row r="40" spans="2:18" x14ac:dyDescent="0.2">
      <c r="B40" s="121"/>
      <c r="H40" s="69"/>
      <c r="I40" s="69"/>
      <c r="J40" s="69"/>
    </row>
    <row r="41" spans="2:18" x14ac:dyDescent="0.2">
      <c r="B41" s="121"/>
      <c r="H41" s="69"/>
      <c r="J41" s="69"/>
    </row>
    <row r="42" spans="2:18" x14ac:dyDescent="0.2">
      <c r="B42" s="121"/>
      <c r="H42" s="69"/>
      <c r="I42" s="69"/>
      <c r="J42" s="69"/>
    </row>
    <row r="43" spans="2:18" x14ac:dyDescent="0.2">
      <c r="H43" s="69"/>
      <c r="I43" s="69"/>
      <c r="J43" s="69"/>
    </row>
    <row r="44" spans="2:18" x14ac:dyDescent="0.2">
      <c r="B44" s="121"/>
      <c r="H44" s="69"/>
      <c r="I44" s="69"/>
      <c r="J44" s="69"/>
    </row>
    <row r="45" spans="2:18" x14ac:dyDescent="0.2">
      <c r="B45" s="121"/>
      <c r="H45" s="69"/>
      <c r="I45" s="69"/>
      <c r="J45" s="69"/>
      <c r="R45" s="67"/>
    </row>
    <row r="46" spans="2:18" x14ac:dyDescent="0.2">
      <c r="B46" s="121"/>
      <c r="H46" s="69"/>
      <c r="I46" s="69"/>
      <c r="J46" s="69"/>
    </row>
    <row r="48" spans="2:18" x14ac:dyDescent="0.2">
      <c r="B48" s="76"/>
    </row>
    <row r="49" spans="2:2" x14ac:dyDescent="0.2">
      <c r="B49" s="76"/>
    </row>
    <row r="50" spans="2:2" x14ac:dyDescent="0.2">
      <c r="B50" s="76"/>
    </row>
  </sheetData>
  <sheetProtection algorithmName="SHA-512" hashValue="hWV/OftlmwHzMZdRhF5ify6Y5G+3kyaHefzlyzRT0nK8/qRmkLGpjfy12nkNdSiIXh7B38wIe1p/4/0rLL34fA==" saltValue="YDiu5XMJULgQP7xo7XyHvA==" spinCount="100000" sheet="1" objects="1" scenarios="1"/>
  <mergeCells count="5">
    <mergeCell ref="B2:R2"/>
    <mergeCell ref="I25:J25"/>
    <mergeCell ref="B3:Q3"/>
    <mergeCell ref="H19:I19"/>
    <mergeCell ref="H20:I20"/>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2:AJ95"/>
  <sheetViews>
    <sheetView zoomScaleNormal="100" workbookViewId="0">
      <selection activeCell="N37" sqref="N37"/>
    </sheetView>
  </sheetViews>
  <sheetFormatPr defaultColWidth="11.42578125" defaultRowHeight="12.75" x14ac:dyDescent="0.2"/>
  <cols>
    <col min="1" max="1" width="11.42578125" style="67"/>
    <col min="2" max="2" width="4.28515625" style="67" customWidth="1"/>
    <col min="3" max="3" width="4.42578125" style="67" customWidth="1"/>
    <col min="4" max="4" width="24.7109375" style="1" customWidth="1"/>
    <col min="5" max="5" width="16.7109375" style="1" customWidth="1"/>
    <col min="6" max="6" width="12.42578125" style="1" customWidth="1"/>
    <col min="7" max="7" width="13.7109375" style="1" customWidth="1"/>
    <col min="8" max="8" width="11.85546875" style="1" customWidth="1"/>
    <col min="9" max="9" width="28.42578125" style="71" customWidth="1"/>
    <col min="10" max="10" width="4.42578125" style="67" customWidth="1"/>
    <col min="11" max="11" width="8.42578125" style="67" customWidth="1"/>
    <col min="12" max="13" width="9.140625" style="67" customWidth="1"/>
    <col min="14" max="16384" width="11.42578125" style="67"/>
  </cols>
  <sheetData>
    <row r="2" spans="2:20" ht="18" x14ac:dyDescent="0.25">
      <c r="B2" s="567" t="s">
        <v>77</v>
      </c>
      <c r="C2" s="567"/>
      <c r="D2" s="567"/>
      <c r="E2" s="567"/>
      <c r="F2" s="567"/>
      <c r="G2" s="567"/>
      <c r="H2" s="567"/>
      <c r="I2" s="567"/>
      <c r="L2" s="568"/>
      <c r="M2" s="568"/>
      <c r="N2" s="568"/>
      <c r="O2" s="568"/>
      <c r="P2" s="568"/>
      <c r="Q2" s="568"/>
    </row>
    <row r="3" spans="2:20" ht="13.5" thickBot="1" x14ac:dyDescent="0.25">
      <c r="L3" s="568"/>
      <c r="M3" s="568"/>
      <c r="N3" s="568"/>
      <c r="O3" s="568"/>
      <c r="P3" s="568"/>
      <c r="Q3" s="568"/>
    </row>
    <row r="4" spans="2:20" ht="12.75" customHeight="1" thickBot="1" x14ac:dyDescent="0.25">
      <c r="B4" s="541" t="s">
        <v>257</v>
      </c>
      <c r="C4" s="542"/>
      <c r="D4" s="542"/>
      <c r="E4" s="542"/>
      <c r="F4" s="542"/>
      <c r="G4" s="542"/>
      <c r="H4" s="542"/>
      <c r="I4" s="543"/>
      <c r="L4" s="568"/>
      <c r="M4" s="568"/>
      <c r="N4" s="568"/>
      <c r="O4" s="568"/>
      <c r="P4" s="568"/>
      <c r="Q4" s="568"/>
    </row>
    <row r="5" spans="2:20" ht="12.75" customHeight="1" x14ac:dyDescent="0.2">
      <c r="B5" s="550" t="s">
        <v>12</v>
      </c>
      <c r="C5" s="545"/>
      <c r="D5" s="562" t="s">
        <v>104</v>
      </c>
      <c r="E5" s="562"/>
      <c r="F5" s="562"/>
      <c r="G5" s="562"/>
      <c r="H5" s="562"/>
      <c r="I5" s="416">
        <v>0.85</v>
      </c>
      <c r="K5" s="82"/>
    </row>
    <row r="6" spans="2:20" x14ac:dyDescent="0.2">
      <c r="B6" s="546"/>
      <c r="C6" s="547"/>
      <c r="D6" s="554" t="s">
        <v>228</v>
      </c>
      <c r="E6" s="554"/>
      <c r="F6" s="554"/>
      <c r="G6" s="554"/>
      <c r="H6" s="554"/>
      <c r="I6" s="419">
        <f>0.8212*depth_of_colony_larval_tray^(-0.185)/Survival_pupae_to_flying_females</f>
        <v>0.86442105263157898</v>
      </c>
      <c r="K6" s="114"/>
    </row>
    <row r="7" spans="2:20" ht="38.25" customHeight="1" x14ac:dyDescent="0.2">
      <c r="B7" s="546"/>
      <c r="C7" s="547"/>
      <c r="D7" s="551" t="s">
        <v>259</v>
      </c>
      <c r="E7" s="551"/>
      <c r="F7" s="301" t="s">
        <v>113</v>
      </c>
      <c r="G7" s="301" t="s">
        <v>114</v>
      </c>
      <c r="H7" s="301" t="s">
        <v>115</v>
      </c>
      <c r="I7" s="417" t="s">
        <v>141</v>
      </c>
      <c r="J7" s="2"/>
    </row>
    <row r="8" spans="2:20" x14ac:dyDescent="0.2">
      <c r="B8" s="546"/>
      <c r="C8" s="547"/>
      <c r="D8" s="556" t="s">
        <v>111</v>
      </c>
      <c r="E8" s="556"/>
      <c r="F8" s="407">
        <v>0.78</v>
      </c>
      <c r="G8" s="407">
        <f>0.25*0.3*2</f>
        <v>0.15</v>
      </c>
      <c r="H8" s="407">
        <f>0.2*0.1*2</f>
        <v>4.0000000000000008E-2</v>
      </c>
      <c r="I8" s="418">
        <f>+SUM(F8:H8)</f>
        <v>0.97000000000000008</v>
      </c>
      <c r="J8" s="2"/>
      <c r="K8" s="69"/>
      <c r="P8" s="115" t="s">
        <v>192</v>
      </c>
      <c r="Q8" s="115" t="s">
        <v>193</v>
      </c>
    </row>
    <row r="9" spans="2:20" x14ac:dyDescent="0.2">
      <c r="B9" s="546"/>
      <c r="C9" s="547"/>
      <c r="D9" s="556" t="s">
        <v>112</v>
      </c>
      <c r="E9" s="556"/>
      <c r="F9" s="407">
        <v>0.26</v>
      </c>
      <c r="G9" s="407">
        <f>0.25*0.7*2</f>
        <v>0.35</v>
      </c>
      <c r="H9" s="407">
        <f>0.2*0.9*2</f>
        <v>0.36000000000000004</v>
      </c>
      <c r="I9" s="418">
        <f>+SUM(F9:H9)</f>
        <v>0.97</v>
      </c>
      <c r="J9" s="2"/>
      <c r="K9" s="69"/>
      <c r="P9" s="115">
        <v>1</v>
      </c>
      <c r="Q9" s="115">
        <v>0.88</v>
      </c>
    </row>
    <row r="10" spans="2:20" x14ac:dyDescent="0.2">
      <c r="B10" s="546"/>
      <c r="C10" s="547"/>
      <c r="D10" s="554" t="s">
        <v>359</v>
      </c>
      <c r="E10" s="552"/>
      <c r="F10" s="552"/>
      <c r="G10" s="552"/>
      <c r="H10" s="552"/>
      <c r="I10" s="473">
        <v>1</v>
      </c>
      <c r="J10" s="2"/>
      <c r="K10" s="69"/>
      <c r="P10" s="115"/>
      <c r="Q10" s="115"/>
    </row>
    <row r="11" spans="2:20" x14ac:dyDescent="0.2">
      <c r="B11" s="546"/>
      <c r="C11" s="547"/>
      <c r="D11" s="552" t="s">
        <v>26</v>
      </c>
      <c r="E11" s="552"/>
      <c r="F11" s="552"/>
      <c r="G11" s="552"/>
      <c r="H11" s="552"/>
      <c r="I11" s="419">
        <v>0.95</v>
      </c>
      <c r="P11" s="115">
        <v>2</v>
      </c>
      <c r="Q11" s="115">
        <v>0.65900000000000003</v>
      </c>
      <c r="T11" s="83"/>
    </row>
    <row r="12" spans="2:20" x14ac:dyDescent="0.2">
      <c r="B12" s="546"/>
      <c r="C12" s="547"/>
      <c r="D12" s="552" t="s">
        <v>27</v>
      </c>
      <c r="E12" s="552"/>
      <c r="F12" s="552"/>
      <c r="G12" s="552"/>
      <c r="H12" s="552"/>
      <c r="I12" s="419">
        <v>0.95</v>
      </c>
      <c r="J12" s="72"/>
      <c r="P12" s="115">
        <v>5</v>
      </c>
      <c r="Q12" s="115">
        <v>0.61199999999999999</v>
      </c>
      <c r="T12" s="83"/>
    </row>
    <row r="13" spans="2:20" x14ac:dyDescent="0.2">
      <c r="B13" s="546"/>
      <c r="C13" s="547"/>
      <c r="D13" s="554" t="s">
        <v>166</v>
      </c>
      <c r="E13" s="554"/>
      <c r="F13" s="552"/>
      <c r="G13" s="552"/>
      <c r="H13" s="552"/>
      <c r="I13" s="420">
        <v>30</v>
      </c>
      <c r="J13" s="2"/>
      <c r="P13" s="115">
        <v>10</v>
      </c>
      <c r="Q13" s="115">
        <v>0.52500000000000002</v>
      </c>
      <c r="R13" s="69"/>
      <c r="S13" s="69"/>
    </row>
    <row r="14" spans="2:20" x14ac:dyDescent="0.2">
      <c r="B14" s="546"/>
      <c r="C14" s="547"/>
      <c r="D14" s="554" t="s">
        <v>167</v>
      </c>
      <c r="E14" s="554"/>
      <c r="F14" s="552"/>
      <c r="G14" s="552"/>
      <c r="H14" s="552"/>
      <c r="I14" s="420">
        <v>20</v>
      </c>
      <c r="J14" s="2"/>
      <c r="P14" s="115">
        <v>14</v>
      </c>
      <c r="Q14" s="115">
        <v>0.52500000000000002</v>
      </c>
      <c r="R14" s="83"/>
      <c r="S14" s="83"/>
    </row>
    <row r="15" spans="2:20" x14ac:dyDescent="0.2">
      <c r="B15" s="546"/>
      <c r="C15" s="547"/>
      <c r="D15" s="554" t="s">
        <v>168</v>
      </c>
      <c r="E15" s="554"/>
      <c r="F15" s="552"/>
      <c r="G15" s="552"/>
      <c r="H15" s="552"/>
      <c r="I15" s="420">
        <v>10</v>
      </c>
      <c r="J15" s="2"/>
      <c r="P15" s="69"/>
      <c r="Q15" s="83"/>
      <c r="R15" s="83"/>
      <c r="S15" s="83"/>
    </row>
    <row r="16" spans="2:20" ht="13.5" thickBot="1" x14ac:dyDescent="0.25">
      <c r="B16" s="548"/>
      <c r="C16" s="549"/>
      <c r="D16" s="553" t="s">
        <v>194</v>
      </c>
      <c r="E16" s="555"/>
      <c r="F16" s="555"/>
      <c r="G16" s="555"/>
      <c r="H16" s="555"/>
      <c r="I16" s="421">
        <f>+IF(number_of_gonotrophic_cycles_colonies=1,Average_number_of_eggs_per_female_for_the_1st_gonotrophic_cycle/Oviposition_period,IF(number_of_gonotrophic_cycles_colonies=2,(Average_number_of_eggs_per_female_for_the_1st_gonotrophic_cycle+Average_number_of_eggs_per_female_for_the_2nd_gonotrophic_cycle)/Oviposition_period,(Average_number_of_eggs_per_female_for_the_1st_gonotrophic_cycle+Average_number_of_eggs_per_female_for_the_2nd_gonotrophic_cycle+Average_number_of_eggs_per_female_for_the_3rd_gonotrophic_cycle)/Oviposition_period))</f>
        <v>4.2857142857142856</v>
      </c>
      <c r="J16" s="2"/>
      <c r="K16" s="74"/>
    </row>
    <row r="17" spans="1:36" x14ac:dyDescent="0.2">
      <c r="B17" s="544" t="s">
        <v>258</v>
      </c>
      <c r="C17" s="545"/>
      <c r="D17" s="562" t="s">
        <v>163</v>
      </c>
      <c r="E17" s="562"/>
      <c r="F17" s="562"/>
      <c r="G17" s="562"/>
      <c r="H17" s="562"/>
      <c r="I17" s="422">
        <v>8</v>
      </c>
      <c r="J17" s="72"/>
      <c r="K17" s="73"/>
      <c r="M17" s="13"/>
      <c r="N17" s="71"/>
      <c r="O17" s="14"/>
      <c r="P17" s="71"/>
      <c r="Q17" s="1"/>
      <c r="R17" s="1"/>
      <c r="S17" s="1"/>
      <c r="T17" s="1"/>
      <c r="U17" s="1"/>
      <c r="V17" s="1"/>
      <c r="W17" s="1"/>
      <c r="X17" s="1"/>
      <c r="Y17" s="1"/>
      <c r="Z17" s="1"/>
      <c r="AA17" s="1"/>
      <c r="AB17" s="1"/>
      <c r="AC17" s="1"/>
      <c r="AD17" s="1"/>
      <c r="AE17" s="1"/>
      <c r="AF17" s="1"/>
      <c r="AG17" s="1"/>
      <c r="AH17" s="1"/>
      <c r="AI17" s="1"/>
      <c r="AJ17" s="1"/>
    </row>
    <row r="18" spans="1:36" x14ac:dyDescent="0.2">
      <c r="B18" s="546"/>
      <c r="C18" s="547"/>
      <c r="D18" s="554" t="s">
        <v>164</v>
      </c>
      <c r="E18" s="554"/>
      <c r="F18" s="554"/>
      <c r="G18" s="554"/>
      <c r="H18" s="554"/>
      <c r="I18" s="423">
        <v>7</v>
      </c>
      <c r="J18" s="72"/>
      <c r="K18" s="73"/>
      <c r="L18" s="74"/>
      <c r="M18" s="13"/>
      <c r="N18" s="1"/>
      <c r="O18" s="1"/>
      <c r="P18" s="1"/>
      <c r="Q18" s="1"/>
      <c r="R18" s="1"/>
      <c r="S18" s="1"/>
      <c r="T18" s="1"/>
      <c r="U18" s="1"/>
      <c r="V18" s="1"/>
      <c r="W18" s="1"/>
      <c r="X18" s="1"/>
      <c r="Y18" s="1"/>
      <c r="Z18" s="1"/>
      <c r="AA18" s="1"/>
      <c r="AB18" s="1"/>
      <c r="AC18" s="1"/>
      <c r="AD18" s="1"/>
      <c r="AE18" s="1"/>
      <c r="AF18" s="1"/>
      <c r="AG18" s="1"/>
      <c r="AH18" s="1"/>
      <c r="AI18" s="1"/>
      <c r="AJ18" s="1"/>
    </row>
    <row r="19" spans="1:36" s="72" customFormat="1" x14ac:dyDescent="0.2">
      <c r="A19" s="2"/>
      <c r="B19" s="546"/>
      <c r="C19" s="547"/>
      <c r="D19" s="554" t="s">
        <v>191</v>
      </c>
      <c r="E19" s="554"/>
      <c r="F19" s="554"/>
      <c r="G19" s="554"/>
      <c r="H19" s="554"/>
      <c r="I19" s="424">
        <v>3</v>
      </c>
      <c r="J19" s="2"/>
      <c r="K19" s="2"/>
      <c r="L19" s="164" t="s">
        <v>305</v>
      </c>
      <c r="N19" s="67"/>
      <c r="O19" s="67"/>
      <c r="P19" s="67"/>
      <c r="Q19" s="67"/>
      <c r="R19" s="67"/>
      <c r="S19" s="67"/>
      <c r="T19" s="67"/>
      <c r="U19" s="67"/>
      <c r="V19" s="67"/>
      <c r="W19" s="67"/>
      <c r="X19" s="67"/>
      <c r="Y19" s="67"/>
      <c r="Z19" s="67"/>
      <c r="AA19" s="67"/>
      <c r="AB19" s="67"/>
      <c r="AC19" s="67"/>
    </row>
    <row r="20" spans="1:36" x14ac:dyDescent="0.2">
      <c r="B20" s="546"/>
      <c r="C20" s="547"/>
      <c r="D20" s="554" t="s">
        <v>165</v>
      </c>
      <c r="E20" s="554"/>
      <c r="F20" s="554"/>
      <c r="G20" s="554"/>
      <c r="H20" s="554"/>
      <c r="I20" s="425">
        <f>+(I19-1)*I18</f>
        <v>14</v>
      </c>
      <c r="J20" s="72"/>
      <c r="K20" s="73"/>
    </row>
    <row r="21" spans="1:36" x14ac:dyDescent="0.2">
      <c r="B21" s="546"/>
      <c r="C21" s="547"/>
      <c r="D21" s="260" t="s">
        <v>230</v>
      </c>
      <c r="E21" s="466"/>
      <c r="F21" s="470"/>
      <c r="G21" s="470"/>
      <c r="H21" s="468"/>
      <c r="I21" s="425">
        <f>+Oviposition_period+Pre_oviposition_period</f>
        <v>22</v>
      </c>
      <c r="J21" s="72"/>
      <c r="K21" s="73"/>
    </row>
    <row r="22" spans="1:36" x14ac:dyDescent="0.2">
      <c r="B22" s="546"/>
      <c r="C22" s="547"/>
      <c r="D22" s="554" t="s">
        <v>105</v>
      </c>
      <c r="E22" s="554"/>
      <c r="F22" s="554"/>
      <c r="G22" s="554"/>
      <c r="H22" s="554"/>
      <c r="I22" s="426">
        <v>4</v>
      </c>
      <c r="K22" s="73"/>
    </row>
    <row r="23" spans="1:36" ht="13.5" thickBot="1" x14ac:dyDescent="0.25">
      <c r="B23" s="548"/>
      <c r="C23" s="549"/>
      <c r="D23" s="553" t="s">
        <v>237</v>
      </c>
      <c r="E23" s="553"/>
      <c r="F23" s="553"/>
      <c r="G23" s="553"/>
      <c r="H23" s="553"/>
      <c r="I23" s="427">
        <v>8</v>
      </c>
      <c r="K23" s="73"/>
      <c r="L23" s="74"/>
    </row>
    <row r="24" spans="1:36" x14ac:dyDescent="0.2">
      <c r="B24" s="563" t="s">
        <v>307</v>
      </c>
      <c r="C24" s="564"/>
      <c r="D24" s="562" t="s">
        <v>308</v>
      </c>
      <c r="E24" s="562"/>
      <c r="F24" s="562"/>
      <c r="G24" s="562"/>
      <c r="H24" s="562"/>
      <c r="I24" s="428">
        <v>91000</v>
      </c>
      <c r="K24" s="73"/>
      <c r="L24" s="74"/>
    </row>
    <row r="25" spans="1:36" ht="13.5" thickBot="1" x14ac:dyDescent="0.25">
      <c r="B25" s="565"/>
      <c r="C25" s="566"/>
      <c r="D25" s="553" t="s">
        <v>309</v>
      </c>
      <c r="E25" s="553"/>
      <c r="F25" s="553"/>
      <c r="G25" s="553"/>
      <c r="H25" s="553"/>
      <c r="I25" s="429">
        <v>333333</v>
      </c>
      <c r="K25" s="73"/>
      <c r="L25" s="74"/>
    </row>
    <row r="26" spans="1:36" s="72" customFormat="1" ht="13.5" thickBot="1" x14ac:dyDescent="0.25">
      <c r="A26" s="2"/>
      <c r="D26" s="117"/>
      <c r="E26" s="117"/>
      <c r="F26" s="117"/>
      <c r="G26" s="117"/>
      <c r="H26" s="117"/>
      <c r="I26" s="117"/>
      <c r="J26" s="2"/>
      <c r="K26" s="2"/>
      <c r="L26" s="2"/>
      <c r="M26" s="67"/>
      <c r="N26" s="67"/>
      <c r="O26" s="67"/>
      <c r="P26" s="67"/>
      <c r="Q26" s="67"/>
      <c r="R26" s="67"/>
      <c r="S26" s="67"/>
      <c r="T26" s="67"/>
      <c r="U26" s="67"/>
      <c r="V26" s="67"/>
      <c r="W26" s="67"/>
      <c r="X26" s="67"/>
      <c r="Y26" s="67"/>
      <c r="Z26" s="67"/>
      <c r="AA26" s="67"/>
      <c r="AB26" s="67"/>
      <c r="AC26" s="67"/>
    </row>
    <row r="27" spans="1:36" ht="13.5" thickBot="1" x14ac:dyDescent="0.25">
      <c r="B27" s="557" t="s">
        <v>325</v>
      </c>
      <c r="C27" s="558"/>
      <c r="D27" s="558"/>
      <c r="E27" s="558"/>
      <c r="F27" s="558"/>
      <c r="G27" s="558"/>
      <c r="H27" s="558"/>
      <c r="I27" s="559"/>
    </row>
    <row r="28" spans="1:36" ht="12.75" customHeight="1" x14ac:dyDescent="0.2">
      <c r="B28" s="550" t="s">
        <v>54</v>
      </c>
      <c r="C28" s="545"/>
      <c r="D28" s="562" t="s">
        <v>139</v>
      </c>
      <c r="E28" s="562"/>
      <c r="F28" s="562"/>
      <c r="G28" s="562"/>
      <c r="H28" s="562"/>
      <c r="I28" s="430">
        <v>3</v>
      </c>
      <c r="J28" s="72"/>
      <c r="K28" s="12"/>
    </row>
    <row r="29" spans="1:36" x14ac:dyDescent="0.2">
      <c r="B29" s="546"/>
      <c r="C29" s="547"/>
      <c r="D29" s="260" t="s">
        <v>140</v>
      </c>
      <c r="E29" s="260"/>
      <c r="F29" s="409">
        <v>1</v>
      </c>
      <c r="G29" s="410">
        <v>60</v>
      </c>
      <c r="H29" s="411">
        <v>100</v>
      </c>
      <c r="I29" s="431">
        <f>+H29*G29*F29</f>
        <v>6000</v>
      </c>
      <c r="J29" s="72"/>
      <c r="K29" s="74"/>
      <c r="L29" s="1"/>
      <c r="M29" s="1"/>
      <c r="T29" s="1"/>
      <c r="U29" s="1"/>
      <c r="V29" s="1"/>
      <c r="W29" s="1"/>
      <c r="X29" s="1"/>
      <c r="Y29" s="1"/>
      <c r="Z29" s="1"/>
      <c r="AA29" s="1"/>
      <c r="AB29" s="1"/>
      <c r="AC29" s="1"/>
      <c r="AD29" s="1"/>
      <c r="AE29" s="1"/>
      <c r="AF29" s="1"/>
      <c r="AG29" s="1"/>
      <c r="AH29" s="1"/>
      <c r="AI29" s="1"/>
      <c r="AJ29" s="1"/>
    </row>
    <row r="30" spans="1:36" x14ac:dyDescent="0.2">
      <c r="B30" s="546"/>
      <c r="C30" s="547"/>
      <c r="D30" s="554" t="s">
        <v>149</v>
      </c>
      <c r="E30" s="554"/>
      <c r="F30" s="554"/>
      <c r="G30" s="554"/>
      <c r="H30" s="554"/>
      <c r="I30" s="432">
        <f>+density_of_larvae_in_colony_trays*volume_of_colony_trays</f>
        <v>18000</v>
      </c>
      <c r="J30" s="72"/>
      <c r="K30" s="74"/>
      <c r="L30" s="1"/>
      <c r="M30" s="1"/>
      <c r="T30" s="1"/>
      <c r="U30" s="1"/>
      <c r="V30" s="1"/>
      <c r="W30" s="1"/>
      <c r="X30" s="1"/>
      <c r="Y30" s="1"/>
      <c r="Z30" s="1"/>
      <c r="AA30" s="1"/>
      <c r="AB30" s="1"/>
      <c r="AC30" s="1"/>
      <c r="AD30" s="1"/>
      <c r="AE30" s="1"/>
      <c r="AF30" s="1"/>
      <c r="AG30" s="1"/>
      <c r="AH30" s="1"/>
      <c r="AI30" s="1"/>
      <c r="AJ30" s="1"/>
    </row>
    <row r="31" spans="1:36" x14ac:dyDescent="0.2">
      <c r="B31" s="546"/>
      <c r="C31" s="547"/>
      <c r="D31" s="554" t="s">
        <v>37</v>
      </c>
      <c r="E31" s="554"/>
      <c r="F31" s="554"/>
      <c r="G31" s="554"/>
      <c r="H31" s="554"/>
      <c r="I31" s="433">
        <f>+ROUNDDOWN(height_of_tray_columns/(free_space_between_trays+depth_of_colony_larval_tray),0)</f>
        <v>48</v>
      </c>
      <c r="J31" s="72"/>
      <c r="K31" s="74"/>
      <c r="L31" s="1"/>
      <c r="M31" s="1"/>
      <c r="T31" s="1"/>
      <c r="U31" s="1"/>
      <c r="V31" s="1"/>
      <c r="W31" s="1"/>
      <c r="X31" s="1"/>
      <c r="Y31" s="1"/>
      <c r="Z31" s="1"/>
      <c r="AA31" s="1"/>
      <c r="AB31" s="1"/>
      <c r="AC31" s="1"/>
      <c r="AD31" s="1"/>
      <c r="AE31" s="1"/>
      <c r="AF31" s="1"/>
      <c r="AG31" s="1"/>
      <c r="AH31" s="1"/>
      <c r="AI31" s="1"/>
      <c r="AJ31" s="1"/>
    </row>
    <row r="32" spans="1:36" x14ac:dyDescent="0.2">
      <c r="B32" s="546"/>
      <c r="C32" s="547"/>
      <c r="D32" s="466" t="s">
        <v>151</v>
      </c>
      <c r="E32" s="470"/>
      <c r="F32" s="470"/>
      <c r="G32" s="470"/>
      <c r="H32" s="468"/>
      <c r="I32" s="434">
        <v>170</v>
      </c>
      <c r="J32" s="72"/>
      <c r="K32" s="74"/>
      <c r="L32" s="1"/>
      <c r="M32" s="1"/>
      <c r="T32" s="1"/>
      <c r="U32" s="1"/>
      <c r="V32" s="1"/>
      <c r="W32" s="1"/>
      <c r="X32" s="1"/>
      <c r="Y32" s="1"/>
      <c r="Z32" s="1"/>
      <c r="AA32" s="1"/>
      <c r="AB32" s="1"/>
      <c r="AC32" s="1"/>
      <c r="AD32" s="1"/>
      <c r="AE32" s="1"/>
      <c r="AF32" s="1"/>
      <c r="AG32" s="1"/>
      <c r="AH32" s="1"/>
      <c r="AI32" s="1"/>
      <c r="AJ32" s="1"/>
    </row>
    <row r="33" spans="1:36" ht="13.5" thickBot="1" x14ac:dyDescent="0.25">
      <c r="B33" s="548"/>
      <c r="C33" s="549"/>
      <c r="D33" s="467" t="s">
        <v>152</v>
      </c>
      <c r="E33" s="471"/>
      <c r="F33" s="471"/>
      <c r="G33" s="471"/>
      <c r="H33" s="469"/>
      <c r="I33" s="435">
        <v>2.5</v>
      </c>
      <c r="J33" s="72"/>
      <c r="K33" s="74"/>
      <c r="L33" s="1"/>
      <c r="M33" s="1"/>
      <c r="T33" s="1"/>
      <c r="U33" s="1"/>
      <c r="V33" s="1"/>
      <c r="W33" s="1"/>
      <c r="X33" s="1"/>
      <c r="Y33" s="1"/>
      <c r="Z33" s="1"/>
      <c r="AA33" s="1"/>
      <c r="AB33" s="1"/>
      <c r="AC33" s="1"/>
      <c r="AD33" s="1"/>
      <c r="AE33" s="1"/>
      <c r="AF33" s="1"/>
      <c r="AG33" s="1"/>
      <c r="AH33" s="1"/>
      <c r="AI33" s="1"/>
      <c r="AJ33" s="1"/>
    </row>
    <row r="34" spans="1:36" x14ac:dyDescent="0.2">
      <c r="B34" s="550" t="s">
        <v>150</v>
      </c>
      <c r="C34" s="545" t="s">
        <v>157</v>
      </c>
      <c r="D34" s="562" t="s">
        <v>135</v>
      </c>
      <c r="E34" s="562"/>
      <c r="F34" s="562"/>
      <c r="G34" s="562"/>
      <c r="H34" s="562"/>
      <c r="I34" s="436">
        <v>1</v>
      </c>
      <c r="N34" s="1"/>
      <c r="O34" s="1"/>
      <c r="P34" s="1"/>
      <c r="Q34" s="1"/>
      <c r="R34" s="1"/>
      <c r="S34" s="1"/>
    </row>
    <row r="35" spans="1:36" x14ac:dyDescent="0.2">
      <c r="B35" s="546"/>
      <c r="C35" s="547"/>
      <c r="D35" s="260" t="s">
        <v>136</v>
      </c>
      <c r="E35" s="412">
        <v>12</v>
      </c>
      <c r="F35" s="413">
        <v>25</v>
      </c>
      <c r="G35" s="414">
        <v>10</v>
      </c>
      <c r="H35" s="415">
        <v>6</v>
      </c>
      <c r="I35" s="437">
        <f>+E35*(G35+H35)*2*F35</f>
        <v>9600</v>
      </c>
      <c r="N35" s="1"/>
      <c r="O35" s="1"/>
      <c r="P35" s="1"/>
      <c r="Q35" s="1"/>
      <c r="R35" s="1"/>
      <c r="S35" s="1"/>
    </row>
    <row r="36" spans="1:36" x14ac:dyDescent="0.2">
      <c r="B36" s="546"/>
      <c r="C36" s="547"/>
      <c r="D36" s="554" t="s">
        <v>134</v>
      </c>
      <c r="E36" s="554"/>
      <c r="F36" s="554"/>
      <c r="G36" s="554"/>
      <c r="H36" s="554"/>
      <c r="I36" s="438">
        <f>+Vertical_net_in_colony_cages/Verticla_resting_place_in_MO_cages</f>
        <v>9600</v>
      </c>
      <c r="K36" s="69"/>
      <c r="N36" s="1"/>
      <c r="O36" s="1"/>
      <c r="P36" s="1"/>
      <c r="Q36" s="1"/>
      <c r="R36" s="1"/>
      <c r="S36" s="1"/>
    </row>
    <row r="37" spans="1:36" x14ac:dyDescent="0.2">
      <c r="B37" s="546"/>
      <c r="C37" s="547"/>
      <c r="D37" s="554" t="s">
        <v>106</v>
      </c>
      <c r="E37" s="554"/>
      <c r="F37" s="554"/>
      <c r="G37" s="554"/>
      <c r="H37" s="554"/>
      <c r="I37" s="439">
        <f>+Males_per_MO_cage/Survival_pupae_to_flying_males</f>
        <v>10105.263157894737</v>
      </c>
    </row>
    <row r="38" spans="1:36" x14ac:dyDescent="0.2">
      <c r="B38" s="546"/>
      <c r="C38" s="547" t="s">
        <v>158</v>
      </c>
      <c r="D38" s="554" t="s">
        <v>132</v>
      </c>
      <c r="E38" s="554"/>
      <c r="F38" s="554"/>
      <c r="G38" s="554"/>
      <c r="H38" s="554"/>
      <c r="I38" s="440">
        <v>1.2</v>
      </c>
      <c r="K38" s="69"/>
    </row>
    <row r="39" spans="1:36" x14ac:dyDescent="0.2">
      <c r="B39" s="546"/>
      <c r="C39" s="547"/>
      <c r="D39" s="260" t="s">
        <v>133</v>
      </c>
      <c r="E39" s="260"/>
      <c r="F39" s="413">
        <v>100</v>
      </c>
      <c r="G39" s="414">
        <v>20</v>
      </c>
      <c r="H39" s="415">
        <v>90</v>
      </c>
      <c r="I39" s="437">
        <f>2*H39*F39+2*G39*F39</f>
        <v>22000</v>
      </c>
      <c r="K39" s="69"/>
    </row>
    <row r="40" spans="1:36" x14ac:dyDescent="0.2">
      <c r="B40" s="546"/>
      <c r="C40" s="547"/>
      <c r="D40" s="554" t="s">
        <v>137</v>
      </c>
      <c r="E40" s="554"/>
      <c r="F40" s="554"/>
      <c r="G40" s="554"/>
      <c r="H40" s="554"/>
      <c r="I40" s="441">
        <f>+Vertical_resting_place_in_colony_cages/Vertical_resting_place_for_colony_cages</f>
        <v>18333.333333333336</v>
      </c>
      <c r="K40" s="69"/>
    </row>
    <row r="41" spans="1:36" x14ac:dyDescent="0.2">
      <c r="B41" s="546"/>
      <c r="C41" s="547"/>
      <c r="D41" s="554" t="s">
        <v>131</v>
      </c>
      <c r="E41" s="554"/>
      <c r="F41" s="554"/>
      <c r="G41" s="554"/>
      <c r="H41" s="554"/>
      <c r="I41" s="527">
        <f>+ROUND((1-female_pupae_recovery_after_first_sorting)/(1-male_pupae_recovery_after_first_sorting),1)</f>
        <v>3.4</v>
      </c>
      <c r="K41" s="69"/>
    </row>
    <row r="42" spans="1:36" x14ac:dyDescent="0.2">
      <c r="B42" s="546"/>
      <c r="C42" s="547"/>
      <c r="D42" s="554" t="s">
        <v>138</v>
      </c>
      <c r="E42" s="554"/>
      <c r="F42" s="554"/>
      <c r="G42" s="554"/>
      <c r="H42" s="554"/>
      <c r="I42" s="442">
        <f>+Adults_in_colony_cages*(females_per_male/(1+females_per_male))</f>
        <v>14166.666666666666</v>
      </c>
      <c r="K42" s="69"/>
    </row>
    <row r="43" spans="1:36" ht="13.5" thickBot="1" x14ac:dyDescent="0.25">
      <c r="B43" s="548"/>
      <c r="C43" s="549"/>
      <c r="D43" s="553" t="s">
        <v>154</v>
      </c>
      <c r="E43" s="553"/>
      <c r="F43" s="553"/>
      <c r="G43" s="553"/>
      <c r="H43" s="553"/>
      <c r="I43" s="443">
        <f>+females_in_colony_cages/Survival_pupae_to_flying_females</f>
        <v>14912.280701754386</v>
      </c>
      <c r="J43" s="72"/>
      <c r="K43" s="69"/>
    </row>
    <row r="44" spans="1:36" s="72" customFormat="1" ht="13.5" thickBot="1" x14ac:dyDescent="0.25">
      <c r="D44" s="67"/>
      <c r="E44" s="67"/>
      <c r="F44" s="67"/>
      <c r="G44" s="67"/>
      <c r="H44" s="67"/>
      <c r="I44" s="71"/>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row>
    <row r="45" spans="1:36" s="72" customFormat="1" ht="13.5" thickBot="1" x14ac:dyDescent="0.25">
      <c r="A45" s="2"/>
      <c r="B45" s="557" t="s">
        <v>190</v>
      </c>
      <c r="C45" s="558"/>
      <c r="D45" s="558"/>
      <c r="E45" s="558"/>
      <c r="F45" s="558"/>
      <c r="G45" s="558"/>
      <c r="H45" s="558"/>
      <c r="I45" s="559"/>
      <c r="J45" s="2"/>
      <c r="K45" s="2"/>
      <c r="L45" s="2"/>
      <c r="M45" s="67"/>
      <c r="N45" s="67"/>
      <c r="O45" s="67"/>
      <c r="P45" s="67"/>
      <c r="Q45" s="67"/>
      <c r="R45" s="67"/>
      <c r="S45" s="67"/>
      <c r="T45" s="67"/>
      <c r="U45" s="67"/>
      <c r="V45" s="67"/>
      <c r="W45" s="67"/>
      <c r="X45" s="67"/>
      <c r="Y45" s="67"/>
      <c r="Z45" s="67"/>
      <c r="AA45" s="67"/>
      <c r="AB45" s="67"/>
      <c r="AC45" s="67"/>
    </row>
    <row r="46" spans="1:36" s="72" customFormat="1" x14ac:dyDescent="0.2">
      <c r="A46" s="2"/>
      <c r="B46" s="560" t="s">
        <v>238</v>
      </c>
      <c r="C46" s="561"/>
      <c r="D46" s="561"/>
      <c r="E46" s="561"/>
      <c r="F46" s="561"/>
      <c r="G46" s="561"/>
      <c r="H46" s="561"/>
      <c r="I46" s="448">
        <v>2</v>
      </c>
      <c r="J46" s="2"/>
      <c r="K46" s="2"/>
      <c r="L46" s="2"/>
      <c r="M46" s="67"/>
      <c r="N46" s="67"/>
      <c r="O46" s="67"/>
      <c r="P46" s="67"/>
      <c r="Q46" s="67"/>
      <c r="R46" s="67"/>
      <c r="S46" s="67"/>
      <c r="T46" s="67"/>
      <c r="U46" s="67"/>
      <c r="V46" s="67"/>
      <c r="W46" s="67"/>
      <c r="X46" s="67"/>
      <c r="Y46" s="67"/>
      <c r="Z46" s="67"/>
      <c r="AA46" s="67"/>
      <c r="AB46" s="67"/>
      <c r="AC46" s="67"/>
    </row>
    <row r="47" spans="1:36" s="72" customFormat="1" x14ac:dyDescent="0.2">
      <c r="A47" s="2"/>
      <c r="B47" s="537" t="s">
        <v>195</v>
      </c>
      <c r="C47" s="538"/>
      <c r="D47" s="538"/>
      <c r="E47" s="538"/>
      <c r="F47" s="538"/>
      <c r="G47" s="538"/>
      <c r="H47" s="538"/>
      <c r="I47" s="444">
        <v>3</v>
      </c>
      <c r="J47" s="2"/>
      <c r="K47" s="2"/>
      <c r="L47" s="2"/>
      <c r="M47" s="67"/>
      <c r="N47" s="67"/>
      <c r="O47" s="67"/>
      <c r="P47" s="67"/>
      <c r="Q47" s="67"/>
      <c r="R47" s="67"/>
      <c r="S47" s="67"/>
      <c r="T47" s="67"/>
      <c r="U47" s="67"/>
      <c r="V47" s="67"/>
      <c r="W47" s="67"/>
      <c r="X47" s="67"/>
      <c r="Y47" s="67"/>
      <c r="Z47" s="67"/>
      <c r="AA47" s="67"/>
      <c r="AB47" s="67"/>
      <c r="AC47" s="67"/>
    </row>
    <row r="48" spans="1:36" s="72" customFormat="1" x14ac:dyDescent="0.2">
      <c r="A48" s="2"/>
      <c r="B48" s="537" t="s">
        <v>353</v>
      </c>
      <c r="C48" s="538"/>
      <c r="D48" s="538"/>
      <c r="E48" s="538"/>
      <c r="F48" s="538"/>
      <c r="G48" s="538"/>
      <c r="H48" s="538"/>
      <c r="I48" s="445">
        <v>5</v>
      </c>
      <c r="J48" s="2"/>
      <c r="K48" s="2"/>
      <c r="L48" s="2"/>
      <c r="M48" s="67"/>
      <c r="N48" s="67"/>
      <c r="O48" s="67"/>
      <c r="P48" s="67"/>
      <c r="Q48" s="67"/>
      <c r="R48" s="67"/>
      <c r="S48" s="67"/>
      <c r="T48" s="67"/>
      <c r="U48" s="67"/>
      <c r="V48" s="67"/>
      <c r="W48" s="67"/>
      <c r="X48" s="67"/>
      <c r="Y48" s="67"/>
      <c r="Z48" s="67"/>
      <c r="AA48" s="67"/>
      <c r="AB48" s="67"/>
      <c r="AC48" s="67"/>
    </row>
    <row r="49" spans="1:36" s="72" customFormat="1" x14ac:dyDescent="0.2">
      <c r="A49" s="2"/>
      <c r="B49" s="537" t="s">
        <v>161</v>
      </c>
      <c r="C49" s="538"/>
      <c r="D49" s="538"/>
      <c r="E49" s="538"/>
      <c r="F49" s="538"/>
      <c r="G49" s="538"/>
      <c r="H49" s="538"/>
      <c r="I49" s="446">
        <v>1</v>
      </c>
      <c r="J49" s="2"/>
      <c r="K49" s="2"/>
      <c r="L49" s="2"/>
      <c r="M49" s="67"/>
      <c r="N49" s="67"/>
      <c r="O49" s="67"/>
      <c r="P49" s="67"/>
      <c r="Q49" s="67"/>
      <c r="R49" s="67"/>
      <c r="S49" s="67"/>
      <c r="T49" s="67"/>
      <c r="U49" s="67"/>
      <c r="V49" s="67"/>
      <c r="W49" s="67"/>
      <c r="X49" s="67"/>
      <c r="Y49" s="67"/>
      <c r="Z49" s="67"/>
      <c r="AA49" s="67"/>
      <c r="AB49" s="67"/>
      <c r="AC49" s="67"/>
    </row>
    <row r="50" spans="1:36" s="72" customFormat="1" ht="13.5" thickBot="1" x14ac:dyDescent="0.25">
      <c r="A50" s="2"/>
      <c r="B50" s="539" t="s">
        <v>162</v>
      </c>
      <c r="C50" s="540"/>
      <c r="D50" s="540"/>
      <c r="E50" s="540"/>
      <c r="F50" s="540"/>
      <c r="G50" s="540"/>
      <c r="H50" s="540"/>
      <c r="I50" s="447">
        <v>1</v>
      </c>
      <c r="J50" s="2"/>
      <c r="K50" s="2"/>
      <c r="L50" s="2"/>
      <c r="M50" s="67"/>
      <c r="N50" s="67"/>
      <c r="O50" s="67"/>
      <c r="P50" s="67"/>
      <c r="Q50" s="67"/>
      <c r="R50" s="67"/>
      <c r="S50" s="67"/>
      <c r="T50" s="67"/>
      <c r="U50" s="67"/>
      <c r="V50" s="67"/>
      <c r="W50" s="67"/>
      <c r="X50" s="67"/>
      <c r="Y50" s="67"/>
      <c r="Z50" s="67"/>
      <c r="AA50" s="67"/>
      <c r="AB50" s="67"/>
      <c r="AC50" s="67"/>
    </row>
    <row r="51" spans="1:36" s="72" customFormat="1" x14ac:dyDescent="0.2">
      <c r="A51" s="2"/>
      <c r="B51" s="168"/>
      <c r="C51" s="168"/>
      <c r="D51" s="168"/>
      <c r="E51" s="168"/>
      <c r="F51" s="168"/>
      <c r="G51" s="168"/>
      <c r="H51" s="2"/>
      <c r="I51" s="2"/>
      <c r="J51" s="2"/>
      <c r="K51" s="2"/>
      <c r="L51" s="2"/>
      <c r="M51" s="67"/>
      <c r="N51" s="67"/>
      <c r="O51" s="67"/>
      <c r="P51" s="67"/>
      <c r="Q51" s="67"/>
      <c r="R51" s="67"/>
      <c r="S51" s="67"/>
      <c r="T51" s="67"/>
      <c r="U51" s="67"/>
      <c r="V51" s="67"/>
      <c r="W51" s="67"/>
      <c r="X51" s="67"/>
      <c r="Y51" s="67"/>
      <c r="Z51" s="67"/>
      <c r="AA51" s="67"/>
      <c r="AB51" s="67"/>
      <c r="AC51" s="67"/>
    </row>
    <row r="52" spans="1:36" x14ac:dyDescent="0.2">
      <c r="D52" s="67"/>
      <c r="E52" s="67"/>
      <c r="F52" s="67"/>
      <c r="G52" s="67"/>
      <c r="H52" s="67"/>
      <c r="J52" s="72"/>
    </row>
    <row r="53" spans="1:36" x14ac:dyDescent="0.2">
      <c r="D53" s="67"/>
      <c r="E53" s="67"/>
      <c r="F53" s="67"/>
      <c r="G53" s="67"/>
      <c r="H53" s="67"/>
    </row>
    <row r="54" spans="1:36" x14ac:dyDescent="0.2">
      <c r="D54" s="67"/>
      <c r="E54" s="67"/>
      <c r="F54" s="67"/>
      <c r="G54" s="67"/>
      <c r="H54" s="67"/>
    </row>
    <row r="55" spans="1:36" s="72" customFormat="1" x14ac:dyDescent="0.2">
      <c r="B55" s="67"/>
      <c r="C55" s="67"/>
      <c r="D55" s="67"/>
      <c r="E55" s="67"/>
      <c r="F55" s="67"/>
      <c r="G55" s="67"/>
      <c r="H55" s="67"/>
      <c r="I55" s="71"/>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row>
    <row r="56" spans="1:36" x14ac:dyDescent="0.2">
      <c r="D56" s="67"/>
      <c r="E56" s="67"/>
      <c r="F56" s="67"/>
      <c r="G56" s="67"/>
      <c r="H56" s="67"/>
    </row>
    <row r="57" spans="1:36" x14ac:dyDescent="0.2">
      <c r="D57" s="67"/>
      <c r="E57" s="67"/>
      <c r="F57" s="67"/>
      <c r="G57" s="67"/>
      <c r="H57" s="67"/>
      <c r="K57" s="75"/>
    </row>
    <row r="58" spans="1:36" x14ac:dyDescent="0.2">
      <c r="D58" s="67"/>
      <c r="E58" s="67"/>
      <c r="F58" s="67"/>
      <c r="G58" s="67"/>
      <c r="H58" s="67"/>
    </row>
    <row r="59" spans="1:36" x14ac:dyDescent="0.2">
      <c r="D59" s="67"/>
      <c r="E59" s="67"/>
      <c r="F59" s="67"/>
      <c r="G59" s="67"/>
      <c r="H59" s="67"/>
    </row>
    <row r="60" spans="1:36" x14ac:dyDescent="0.2">
      <c r="D60" s="67"/>
      <c r="E60" s="67"/>
      <c r="F60" s="67"/>
      <c r="G60" s="67"/>
      <c r="H60" s="67"/>
    </row>
    <row r="61" spans="1:36" s="75" customFormat="1" x14ac:dyDescent="0.2">
      <c r="D61" s="67"/>
      <c r="E61" s="67"/>
      <c r="F61" s="67"/>
      <c r="G61" s="67"/>
      <c r="H61" s="67"/>
      <c r="I61" s="71"/>
      <c r="J61" s="67"/>
      <c r="K61" s="67"/>
      <c r="N61" s="67"/>
      <c r="O61" s="67"/>
      <c r="P61" s="67"/>
      <c r="Q61" s="67"/>
      <c r="R61" s="67"/>
      <c r="S61" s="67"/>
    </row>
    <row r="62" spans="1:36" x14ac:dyDescent="0.2">
      <c r="D62" s="67"/>
      <c r="E62" s="67"/>
      <c r="F62" s="67"/>
      <c r="G62" s="67"/>
      <c r="H62" s="67"/>
    </row>
    <row r="63" spans="1:36" x14ac:dyDescent="0.2">
      <c r="D63" s="67"/>
      <c r="E63" s="67"/>
      <c r="F63" s="67"/>
      <c r="G63" s="67"/>
      <c r="H63" s="67"/>
    </row>
    <row r="64" spans="1:36" x14ac:dyDescent="0.2">
      <c r="D64" s="67"/>
      <c r="E64" s="67"/>
      <c r="F64" s="67"/>
      <c r="G64" s="67"/>
      <c r="H64" s="67"/>
      <c r="N64" s="75"/>
      <c r="O64" s="75"/>
      <c r="P64" s="75"/>
      <c r="Q64" s="75"/>
      <c r="R64" s="75"/>
      <c r="S64" s="75"/>
    </row>
    <row r="65" spans="4:11" x14ac:dyDescent="0.2">
      <c r="D65" s="67"/>
      <c r="E65" s="67"/>
      <c r="F65" s="67"/>
      <c r="G65" s="67"/>
      <c r="H65" s="67"/>
    </row>
    <row r="66" spans="4:11" x14ac:dyDescent="0.2">
      <c r="D66" s="67"/>
      <c r="E66" s="67"/>
      <c r="F66" s="67"/>
      <c r="G66" s="67"/>
      <c r="H66" s="67"/>
      <c r="K66" s="72"/>
    </row>
    <row r="67" spans="4:11" x14ac:dyDescent="0.2">
      <c r="D67" s="67"/>
      <c r="E67" s="67"/>
      <c r="F67" s="67"/>
      <c r="G67" s="67"/>
      <c r="H67" s="67"/>
    </row>
    <row r="68" spans="4:11" x14ac:dyDescent="0.2">
      <c r="D68" s="67"/>
      <c r="E68" s="67"/>
      <c r="F68" s="67"/>
      <c r="G68" s="67"/>
      <c r="H68" s="67"/>
    </row>
    <row r="69" spans="4:11" x14ac:dyDescent="0.2">
      <c r="D69" s="67"/>
      <c r="E69" s="67"/>
      <c r="F69" s="67"/>
      <c r="G69" s="67"/>
      <c r="H69" s="67"/>
    </row>
    <row r="70" spans="4:11" x14ac:dyDescent="0.2">
      <c r="D70" s="67"/>
      <c r="E70" s="67"/>
      <c r="F70" s="67"/>
      <c r="G70" s="67"/>
      <c r="H70" s="67"/>
    </row>
    <row r="71" spans="4:11" x14ac:dyDescent="0.2">
      <c r="D71" s="67"/>
      <c r="E71" s="67"/>
      <c r="F71" s="67"/>
      <c r="G71" s="67"/>
      <c r="H71" s="67"/>
    </row>
    <row r="72" spans="4:11" x14ac:dyDescent="0.2">
      <c r="D72" s="67"/>
      <c r="E72" s="67"/>
      <c r="F72" s="67"/>
      <c r="G72" s="67"/>
      <c r="H72" s="67"/>
    </row>
    <row r="73" spans="4:11" x14ac:dyDescent="0.2">
      <c r="D73" s="67"/>
      <c r="E73" s="67"/>
      <c r="F73" s="67"/>
      <c r="G73" s="67"/>
      <c r="H73" s="67"/>
    </row>
    <row r="74" spans="4:11" x14ac:dyDescent="0.2">
      <c r="I74" s="14"/>
    </row>
    <row r="75" spans="4:11" x14ac:dyDescent="0.2">
      <c r="I75" s="14"/>
      <c r="J75" s="72"/>
    </row>
    <row r="76" spans="4:11" x14ac:dyDescent="0.2">
      <c r="I76" s="14"/>
    </row>
    <row r="77" spans="4:11" x14ac:dyDescent="0.2">
      <c r="I77" s="14"/>
    </row>
    <row r="78" spans="4:11" x14ac:dyDescent="0.2">
      <c r="I78" s="14"/>
    </row>
    <row r="79" spans="4:11" x14ac:dyDescent="0.2">
      <c r="I79" s="14"/>
    </row>
    <row r="80" spans="4:11" x14ac:dyDescent="0.2">
      <c r="I80" s="14"/>
    </row>
    <row r="81" spans="9:9" x14ac:dyDescent="0.2">
      <c r="I81" s="14"/>
    </row>
    <row r="82" spans="9:9" x14ac:dyDescent="0.2">
      <c r="I82" s="14"/>
    </row>
    <row r="83" spans="9:9" x14ac:dyDescent="0.2">
      <c r="I83" s="14"/>
    </row>
    <row r="84" spans="9:9" x14ac:dyDescent="0.2">
      <c r="I84" s="14"/>
    </row>
    <row r="85" spans="9:9" x14ac:dyDescent="0.2">
      <c r="I85" s="14"/>
    </row>
    <row r="86" spans="9:9" x14ac:dyDescent="0.2">
      <c r="I86" s="14"/>
    </row>
    <row r="87" spans="9:9" x14ac:dyDescent="0.2">
      <c r="I87" s="14"/>
    </row>
    <row r="88" spans="9:9" x14ac:dyDescent="0.2">
      <c r="I88" s="14"/>
    </row>
    <row r="89" spans="9:9" x14ac:dyDescent="0.2">
      <c r="I89" s="14"/>
    </row>
    <row r="90" spans="9:9" x14ac:dyDescent="0.2">
      <c r="I90" s="14"/>
    </row>
    <row r="91" spans="9:9" x14ac:dyDescent="0.2">
      <c r="I91" s="14"/>
    </row>
    <row r="92" spans="9:9" x14ac:dyDescent="0.2">
      <c r="I92" s="14"/>
    </row>
    <row r="93" spans="9:9" x14ac:dyDescent="0.2">
      <c r="I93" s="14"/>
    </row>
    <row r="94" spans="9:9" x14ac:dyDescent="0.2">
      <c r="I94" s="14"/>
    </row>
    <row r="95" spans="9:9" x14ac:dyDescent="0.2">
      <c r="I95" s="14"/>
    </row>
  </sheetData>
  <sheetProtection algorithmName="SHA-512" hashValue="mtXpF1Zyz3SX1+965julWUyjhccWrhvL1zeOj0NGT+EdNhXCNT9zlVYE6dTb6h7cdn5kLTPaPO9zbA+cJbLfsw==" saltValue="6dLXv1TdSDhQyJ4WNpPhdw==" spinCount="100000" sheet="1" objects="1" scenarios="1"/>
  <mergeCells count="48">
    <mergeCell ref="D18:H18"/>
    <mergeCell ref="D17:H17"/>
    <mergeCell ref="D28:H28"/>
    <mergeCell ref="D24:H24"/>
    <mergeCell ref="D40:H40"/>
    <mergeCell ref="D37:H37"/>
    <mergeCell ref="D25:H25"/>
    <mergeCell ref="D31:H31"/>
    <mergeCell ref="B2:I2"/>
    <mergeCell ref="L2:Q4"/>
    <mergeCell ref="D13:H13"/>
    <mergeCell ref="D14:H14"/>
    <mergeCell ref="D15:H15"/>
    <mergeCell ref="D5:H5"/>
    <mergeCell ref="D6:H6"/>
    <mergeCell ref="D10:H10"/>
    <mergeCell ref="B45:I45"/>
    <mergeCell ref="B46:H46"/>
    <mergeCell ref="D19:H19"/>
    <mergeCell ref="D30:H30"/>
    <mergeCell ref="B27:I27"/>
    <mergeCell ref="D43:H43"/>
    <mergeCell ref="D34:H34"/>
    <mergeCell ref="C34:C37"/>
    <mergeCell ref="C38:C43"/>
    <mergeCell ref="D38:H38"/>
    <mergeCell ref="D36:H36"/>
    <mergeCell ref="D41:H41"/>
    <mergeCell ref="B24:C25"/>
    <mergeCell ref="B28:C33"/>
    <mergeCell ref="B34:B43"/>
    <mergeCell ref="D42:H42"/>
    <mergeCell ref="B48:H48"/>
    <mergeCell ref="B49:H49"/>
    <mergeCell ref="B50:H50"/>
    <mergeCell ref="B4:I4"/>
    <mergeCell ref="B17:C23"/>
    <mergeCell ref="B5:C16"/>
    <mergeCell ref="D7:E7"/>
    <mergeCell ref="D11:H11"/>
    <mergeCell ref="D12:H12"/>
    <mergeCell ref="D23:H23"/>
    <mergeCell ref="D20:H20"/>
    <mergeCell ref="D22:H22"/>
    <mergeCell ref="D16:H16"/>
    <mergeCell ref="D8:E8"/>
    <mergeCell ref="D9:E9"/>
    <mergeCell ref="B47:H47"/>
  </mergeCells>
  <phoneticPr fontId="0" type="noConversion"/>
  <pageMargins left="0.75" right="0.75" top="1" bottom="1" header="0.5" footer="0.5"/>
  <pageSetup paperSize="9" orientation="portrait" horizontalDpi="4294967293"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A2:S61"/>
  <sheetViews>
    <sheetView workbookViewId="0">
      <selection activeCell="C7" sqref="C7"/>
    </sheetView>
  </sheetViews>
  <sheetFormatPr defaultColWidth="11.42578125" defaultRowHeight="12.75" x14ac:dyDescent="0.2"/>
  <cols>
    <col min="1" max="1" width="9.140625" style="67" customWidth="1"/>
    <col min="2" max="2" width="66.5703125" style="67" customWidth="1"/>
    <col min="3" max="3" width="24.85546875" style="67" customWidth="1"/>
    <col min="4" max="4" width="8.5703125" style="67" customWidth="1"/>
    <col min="5" max="5" width="12" style="67" bestFit="1" customWidth="1"/>
    <col min="6" max="7" width="3.140625" style="67" customWidth="1"/>
    <col min="8" max="8" width="71.42578125" style="67" customWidth="1"/>
    <col min="9" max="9" width="13.42578125" style="67" customWidth="1"/>
    <col min="10" max="16384" width="11.42578125" style="67"/>
  </cols>
  <sheetData>
    <row r="2" spans="1:19" ht="18" x14ac:dyDescent="0.25">
      <c r="B2" s="567" t="s">
        <v>107</v>
      </c>
      <c r="C2" s="567"/>
    </row>
    <row r="4" spans="1:19" x14ac:dyDescent="0.2">
      <c r="A4" s="1"/>
      <c r="B4" s="333" t="s">
        <v>169</v>
      </c>
      <c r="C4" s="392">
        <f>+Weekly_pupal_production</f>
        <v>1</v>
      </c>
      <c r="D4" s="1"/>
      <c r="E4" s="74"/>
      <c r="Q4" s="1"/>
      <c r="R4" s="1"/>
      <c r="S4" s="1"/>
    </row>
    <row r="5" spans="1:19" x14ac:dyDescent="0.2">
      <c r="A5" s="1"/>
      <c r="B5" s="260" t="s">
        <v>109</v>
      </c>
      <c r="C5" s="404">
        <f>+Weekly_pupal_production*Survival_pupae_to_flying_males</f>
        <v>0.95</v>
      </c>
      <c r="D5" s="1"/>
      <c r="E5" s="74"/>
      <c r="Q5" s="1"/>
      <c r="R5" s="1"/>
      <c r="S5" s="1"/>
    </row>
    <row r="6" spans="1:19" x14ac:dyDescent="0.2">
      <c r="A6" s="1"/>
      <c r="B6" s="398" t="s">
        <v>78</v>
      </c>
      <c r="C6" s="277">
        <f>+ROUNDUP((Weekly_pupal_production*1000000/7)/(pupae_load_per_MO_cage),0)</f>
        <v>15</v>
      </c>
      <c r="D6" s="1"/>
      <c r="J6" s="1"/>
      <c r="K6" s="1"/>
      <c r="L6" s="1"/>
      <c r="M6" s="1"/>
      <c r="N6" s="1"/>
      <c r="O6" s="1"/>
      <c r="P6" s="1"/>
      <c r="Q6" s="1"/>
      <c r="R6" s="1"/>
      <c r="S6" s="1"/>
    </row>
    <row r="7" spans="1:19" x14ac:dyDescent="0.2">
      <c r="B7" s="398" t="s">
        <v>99</v>
      </c>
      <c r="C7" s="405">
        <f>+MO_cages_loaded_per_day*Duration_of_males_holding_before_release</f>
        <v>60</v>
      </c>
      <c r="D7" s="76"/>
    </row>
    <row r="8" spans="1:19" x14ac:dyDescent="0.2">
      <c r="A8" s="1"/>
      <c r="B8" s="398" t="s">
        <v>25</v>
      </c>
      <c r="C8" s="406">
        <f>+ROUNDUP(C4*1000000/7/Number_of_pupae_per_irradiation_canister,0)</f>
        <v>1</v>
      </c>
      <c r="D8" s="5"/>
      <c r="E8" s="1"/>
      <c r="F8" s="4"/>
      <c r="G8" s="1"/>
      <c r="H8" s="1"/>
      <c r="I8" s="1"/>
      <c r="J8" s="1"/>
      <c r="K8" s="1"/>
      <c r="L8" s="1"/>
      <c r="M8" s="1"/>
      <c r="N8" s="1"/>
      <c r="O8" s="1"/>
      <c r="P8" s="1"/>
      <c r="Q8" s="1"/>
      <c r="R8" s="1"/>
      <c r="S8" s="1"/>
    </row>
    <row r="9" spans="1:19" x14ac:dyDescent="0.2">
      <c r="A9" s="1"/>
      <c r="B9" s="12"/>
      <c r="C9" s="72"/>
      <c r="D9" s="5"/>
      <c r="E9" s="1"/>
      <c r="F9" s="4"/>
      <c r="G9" s="1"/>
      <c r="H9" s="1"/>
      <c r="I9" s="1"/>
      <c r="J9" s="1"/>
      <c r="K9" s="1"/>
      <c r="L9" s="1"/>
      <c r="M9" s="1"/>
      <c r="N9" s="1"/>
      <c r="O9" s="1"/>
      <c r="P9" s="1"/>
      <c r="Q9" s="1"/>
      <c r="R9" s="1"/>
      <c r="S9" s="1"/>
    </row>
    <row r="10" spans="1:19" x14ac:dyDescent="0.2">
      <c r="A10" s="1"/>
      <c r="B10" s="72"/>
      <c r="C10" s="72"/>
    </row>
    <row r="12" spans="1:19" x14ac:dyDescent="0.2">
      <c r="C12" s="77"/>
    </row>
    <row r="61" spans="2:7" x14ac:dyDescent="0.2">
      <c r="B61" s="78"/>
      <c r="C61" s="78"/>
      <c r="D61" s="78"/>
      <c r="E61" s="78"/>
      <c r="F61" s="78"/>
      <c r="G61" s="78"/>
    </row>
  </sheetData>
  <sheetProtection algorithmName="SHA-512" hashValue="nl0l/WKVkvApNCUkP/y3nuRJE4fZ4yuvtgvhnFO0Oc3aO7EwjSyFUL203j+5saz7aEvXSHtQh+7aQgeSMesMFA==" saltValue="sA9rGIVzvZONq7lz0dA3Kw==" spinCount="100000" sheet="1" objects="1" scenarios="1"/>
  <mergeCells count="1">
    <mergeCell ref="B2:C2"/>
  </mergeCells>
  <phoneticPr fontId="0" type="noConversion"/>
  <pageMargins left="0.75" right="0.75" top="1" bottom="1" header="0" footer="0"/>
  <pageSetup paperSize="9"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sheetPr>
  <dimension ref="A2:F114"/>
  <sheetViews>
    <sheetView zoomScaleNormal="100" workbookViewId="0">
      <selection activeCell="C12" sqref="C12"/>
    </sheetView>
  </sheetViews>
  <sheetFormatPr defaultColWidth="11.42578125" defaultRowHeight="12.75" x14ac:dyDescent="0.2"/>
  <cols>
    <col min="1" max="1" width="4.42578125" style="67" customWidth="1"/>
    <col min="2" max="2" width="77.85546875" style="67" customWidth="1"/>
    <col min="3" max="3" width="27.85546875" style="106" customWidth="1"/>
    <col min="4" max="4" width="18.7109375" style="67" customWidth="1"/>
    <col min="5" max="5" width="13.42578125" style="67" bestFit="1" customWidth="1"/>
    <col min="6" max="16384" width="11.42578125" style="67"/>
  </cols>
  <sheetData>
    <row r="2" spans="1:5" ht="18" x14ac:dyDescent="0.25">
      <c r="B2" s="567" t="s">
        <v>110</v>
      </c>
      <c r="C2" s="567"/>
    </row>
    <row r="3" spans="1:5" x14ac:dyDescent="0.2">
      <c r="C3" s="67"/>
    </row>
    <row r="4" spans="1:5" ht="12.75" customHeight="1" x14ac:dyDescent="0.2">
      <c r="A4" s="1"/>
      <c r="B4" s="333" t="s">
        <v>169</v>
      </c>
      <c r="C4" s="392">
        <f>+Weekly_pupal_production</f>
        <v>1</v>
      </c>
      <c r="D4" s="1"/>
      <c r="E4" s="74"/>
    </row>
    <row r="5" spans="1:5" x14ac:dyDescent="0.2">
      <c r="A5" s="1"/>
      <c r="B5" s="333" t="s">
        <v>221</v>
      </c>
      <c r="C5" s="393">
        <f>+Weekly_pupal_production/7</f>
        <v>0.14285714285714285</v>
      </c>
      <c r="D5" s="1"/>
      <c r="E5" s="74"/>
    </row>
    <row r="6" spans="1:5" x14ac:dyDescent="0.2">
      <c r="A6" s="1"/>
      <c r="B6" s="333" t="s">
        <v>356</v>
      </c>
      <c r="C6" s="472">
        <v>1.05</v>
      </c>
      <c r="D6" s="1"/>
      <c r="E6" s="74"/>
    </row>
    <row r="7" spans="1:5" x14ac:dyDescent="0.2">
      <c r="A7" s="1"/>
      <c r="B7" s="333" t="s">
        <v>222</v>
      </c>
      <c r="C7" s="394">
        <f>+IF('03 Pro Par'!I10=1,Expected_number_of_male_pupae_to_be_produced_per_week*C6*2/Egg_hatching_rate/Survival_eggs_to_pupae_Colony/male_pupae_recovery_after_first_sorting/'09 Rearing Equip.'!C37,IF('03 Pro Par'!I10=2,Expected_number_of_male_pupae_to_be_produced_per_week*C6*2/Egg_hatching_rate/Survival_eggs_to_pupae_Colony/(male_pupae_recovery_after_first_sorting+male_pupae_recovery_after_second_sorting)/'09 Rearing Equip.'!C37,Expected_number_of_male_pupae_to_be_produced_per_week*C6*2/Egg_hatching_rate/Survival_eggs_to_pupae_Colony/(male_pupae_recovery_after_first_sorting+male_pupae_recovery_after_second_sorting+male_pupae_recovery_after_third_sorting)/'09 Rearing Equip.'!C37))</f>
        <v>4.5802632941969916</v>
      </c>
      <c r="D7" s="1"/>
      <c r="E7" s="74"/>
    </row>
    <row r="8" spans="1:5" x14ac:dyDescent="0.2">
      <c r="A8" s="1"/>
      <c r="B8" s="333" t="s">
        <v>223</v>
      </c>
      <c r="C8" s="395">
        <f>+eggs_to_be_hatched_per_week_for_male_only_production/7</f>
        <v>0.65432332774242741</v>
      </c>
      <c r="D8" s="165">
        <f>+eggs_to_be_hatched_per_day_for_male_only_production/'03 Pro Par'!I24*1000000</f>
        <v>7.1903662389277736</v>
      </c>
      <c r="E8" s="74"/>
    </row>
    <row r="9" spans="1:5" x14ac:dyDescent="0.2">
      <c r="A9" s="1"/>
      <c r="B9" s="333" t="s">
        <v>224</v>
      </c>
      <c r="C9" s="396">
        <f>+ROUNDUP(eggs_to_be_hatched_per_day_for_male_only_production*Egg_hatching_rate/L1_per_colony_tray*1000000,0)</f>
        <v>31</v>
      </c>
      <c r="D9" s="20">
        <f>+ROUNDUP(Number_of_MO_larval_trays_to_be_loaded_with_L1_per_day/Number_of_larval_trays_per_rack__Colony,0)</f>
        <v>1</v>
      </c>
      <c r="E9" s="74"/>
    </row>
    <row r="10" spans="1:5" x14ac:dyDescent="0.2">
      <c r="A10" s="1"/>
      <c r="B10" s="333" t="s">
        <v>357</v>
      </c>
      <c r="C10" s="474">
        <f>+IF('03 Pro Par'!I10=1,0,ROUNDUP(Number_of_MO_larval_trays_to_be_loaded_with_L1_per_day*(1-AVERAGE(male_pupae_recovery_after_first_sorting,female_pupae_recovery_after_first_sorting)),0))</f>
        <v>0</v>
      </c>
      <c r="D10" s="20">
        <f>+ROUNDUP(C10/Number_of_larval_trays_per_rack__Colony,0)</f>
        <v>0</v>
      </c>
      <c r="E10" s="74"/>
    </row>
    <row r="11" spans="1:5" x14ac:dyDescent="0.2">
      <c r="A11" s="1"/>
      <c r="B11" s="333" t="s">
        <v>358</v>
      </c>
      <c r="C11" s="396">
        <f>+IF('03 Pro Par'!I10=3,ROUNDUP(Number_of_MO_larval_trays_to_be_loaded_with_L1_per_day*(1-AVERAGE(male_pupae_recovery_after_first_sorting+male_pupae_recovery_after_second_sorting,female_pupae_recovery_after_first_sorting+female_pupae_recovery_after_second_sorting)),0),0)</f>
        <v>0</v>
      </c>
      <c r="D11" s="20">
        <f>+ROUNDUP(C11/Number_of_larval_trays_per_rack__Colony,0)</f>
        <v>0</v>
      </c>
      <c r="E11" s="74"/>
    </row>
    <row r="12" spans="1:5" x14ac:dyDescent="0.2">
      <c r="A12" s="1"/>
      <c r="B12" s="333" t="s">
        <v>361</v>
      </c>
      <c r="C12" s="396">
        <f>+Number_of_MO_larval_trays_to_be_loaded_with_L1_per_day+C10+C11</f>
        <v>31</v>
      </c>
      <c r="D12" s="20"/>
      <c r="E12" s="74"/>
    </row>
    <row r="13" spans="1:5" x14ac:dyDescent="0.2">
      <c r="A13" s="1"/>
      <c r="B13" s="333" t="s">
        <v>360</v>
      </c>
      <c r="C13" s="396">
        <f>+C12</f>
        <v>31</v>
      </c>
      <c r="D13" s="20"/>
      <c r="E13" s="74"/>
    </row>
    <row r="14" spans="1:5" x14ac:dyDescent="0.2">
      <c r="A14" s="1"/>
      <c r="B14" s="333" t="s">
        <v>354</v>
      </c>
      <c r="C14" s="397">
        <f>+eggs_to_be_hatched_per_day_for_male_only_production/Average_ovipositing_rate_during_oviposition_period*1000000</f>
        <v>152675.44313989973</v>
      </c>
      <c r="D14" s="20"/>
      <c r="E14" s="74"/>
    </row>
    <row r="15" spans="1:5" x14ac:dyDescent="0.2">
      <c r="A15" s="1"/>
      <c r="B15" s="333" t="s">
        <v>355</v>
      </c>
      <c r="C15" s="397">
        <f>+Ovipositing_females_permanently_in_the_colony*Pre_oviposition_period/Oviposition_period</f>
        <v>87243.11036565699</v>
      </c>
      <c r="D15" s="20"/>
      <c r="E15" s="74"/>
    </row>
    <row r="16" spans="1:5" x14ac:dyDescent="0.2">
      <c r="A16" s="1"/>
      <c r="B16" s="398" t="s">
        <v>225</v>
      </c>
      <c r="C16" s="399">
        <f>+Ovipositing_females_permanently_in_the_colony/(Oviposition_period)</f>
        <v>10905.388795707124</v>
      </c>
      <c r="D16" s="20"/>
      <c r="E16" s="74"/>
    </row>
    <row r="17" spans="1:5" x14ac:dyDescent="0.2">
      <c r="A17" s="1"/>
      <c r="B17" s="398" t="s">
        <v>321</v>
      </c>
      <c r="C17" s="276">
        <f>+ROUNDUP(ROUNDUP((Ovipositing_females_permanently_in_the_colony+C15)/females_in_colony_cages,0)/frequency_of_blood_feeding,0)</f>
        <v>9</v>
      </c>
      <c r="D17" s="20"/>
      <c r="E17" s="74"/>
    </row>
    <row r="18" spans="1:5" x14ac:dyDescent="0.2">
      <c r="A18" s="1"/>
      <c r="B18" s="398" t="s">
        <v>226</v>
      </c>
      <c r="C18" s="276">
        <f>+ROUNDUP(Number_of_ovipositing_females_to_be_replaced_everyday/females_in_colony_cages,0)</f>
        <v>1</v>
      </c>
      <c r="D18" s="20"/>
      <c r="E18" s="74"/>
    </row>
    <row r="19" spans="1:5" x14ac:dyDescent="0.2">
      <c r="A19" s="1"/>
      <c r="B19" s="333" t="s">
        <v>229</v>
      </c>
      <c r="C19" s="400">
        <f>+Number_of_MO_larval_trays_to_be_loaded_with_L1_per_day*(Duration_of_the_larval_cycle__Colony)+C10+C11</f>
        <v>248</v>
      </c>
      <c r="D19" s="20"/>
      <c r="E19" s="74"/>
    </row>
    <row r="20" spans="1:5" x14ac:dyDescent="0.2">
      <c r="A20" s="1"/>
      <c r="B20" s="333" t="s">
        <v>234</v>
      </c>
      <c r="C20" s="401">
        <f>+number_of_MO_racks_to_hold_the_trays_seeded_with_eggs_everyday*(Duration_of_the_larval_cycle__Colony)+D10+D11</f>
        <v>8</v>
      </c>
      <c r="D20" s="20"/>
      <c r="E20" s="74"/>
    </row>
    <row r="21" spans="1:5" x14ac:dyDescent="0.2">
      <c r="A21" s="1"/>
      <c r="B21" s="333" t="s">
        <v>233</v>
      </c>
      <c r="C21" s="402">
        <f>+Cage_units_to_be_loaded_per_day_to_produce_the_eggs_for_stockpiling*Pre_oviposition_period</f>
        <v>8</v>
      </c>
      <c r="D21" s="20"/>
      <c r="E21" s="74"/>
    </row>
    <row r="22" spans="1:5" x14ac:dyDescent="0.2">
      <c r="A22" s="1"/>
      <c r="B22" s="333" t="s">
        <v>232</v>
      </c>
      <c r="C22" s="402">
        <f>+Cage_units_to_be_loaded_per_day_to_produce_the_eggs_for_stockpiling*Oviposition_period</f>
        <v>14</v>
      </c>
      <c r="D22" s="20"/>
      <c r="E22" s="74"/>
    </row>
    <row r="23" spans="1:5" ht="25.5" x14ac:dyDescent="0.2">
      <c r="A23" s="1"/>
      <c r="B23" s="398" t="s">
        <v>231</v>
      </c>
      <c r="C23" s="403">
        <f>+Pre_oviposition_cages_permanently_in_use_for_MO_egg_production+Oviposition_cages_permanently_in_use_for_MO_egg_production</f>
        <v>22</v>
      </c>
      <c r="D23" s="1"/>
      <c r="E23" s="74"/>
    </row>
    <row r="24" spans="1:5" ht="12.75" customHeight="1" x14ac:dyDescent="0.2">
      <c r="A24" s="1"/>
      <c r="C24" s="67"/>
      <c r="E24" s="116"/>
    </row>
    <row r="25" spans="1:5" ht="12.75" customHeight="1" x14ac:dyDescent="0.2">
      <c r="A25" s="1"/>
      <c r="C25" s="67"/>
      <c r="D25" s="20"/>
    </row>
    <row r="26" spans="1:5" ht="12.75" customHeight="1" x14ac:dyDescent="0.2">
      <c r="A26" s="12"/>
      <c r="C26" s="67"/>
      <c r="D26" s="21"/>
    </row>
    <row r="27" spans="1:5" ht="12.75" customHeight="1" x14ac:dyDescent="0.2">
      <c r="A27" s="1"/>
      <c r="B27" s="1"/>
      <c r="C27" s="6"/>
      <c r="D27" s="7"/>
    </row>
    <row r="28" spans="1:5" x14ac:dyDescent="0.2">
      <c r="A28" s="1"/>
      <c r="B28" s="1"/>
      <c r="C28" s="6"/>
      <c r="D28" s="1"/>
    </row>
    <row r="29" spans="1:5" x14ac:dyDescent="0.2">
      <c r="A29" s="1"/>
      <c r="B29" s="1"/>
      <c r="C29" s="6"/>
      <c r="D29" s="1"/>
    </row>
    <row r="30" spans="1:5" x14ac:dyDescent="0.2">
      <c r="A30" s="1"/>
      <c r="B30" s="1"/>
      <c r="C30" s="6"/>
      <c r="D30" s="1"/>
    </row>
    <row r="31" spans="1:5" x14ac:dyDescent="0.2">
      <c r="A31" s="1"/>
      <c r="B31" s="1"/>
      <c r="C31" s="6"/>
      <c r="D31" s="72"/>
    </row>
    <row r="32" spans="1:5" x14ac:dyDescent="0.2">
      <c r="A32" s="1"/>
      <c r="B32" s="1"/>
      <c r="C32" s="6"/>
      <c r="D32" s="2"/>
    </row>
    <row r="33" spans="1:6" x14ac:dyDescent="0.2">
      <c r="A33" s="1"/>
      <c r="B33" s="1"/>
      <c r="C33" s="6"/>
      <c r="D33" s="1"/>
    </row>
    <row r="34" spans="1:6" x14ac:dyDescent="0.2">
      <c r="A34" s="1"/>
      <c r="B34" s="1"/>
      <c r="C34" s="6"/>
      <c r="D34" s="1"/>
    </row>
    <row r="35" spans="1:6" x14ac:dyDescent="0.2">
      <c r="A35" s="1"/>
      <c r="B35" s="1"/>
      <c r="C35" s="6"/>
      <c r="D35" s="1"/>
    </row>
    <row r="36" spans="1:6" x14ac:dyDescent="0.2">
      <c r="A36" s="1"/>
      <c r="B36" s="1"/>
      <c r="C36" s="6"/>
      <c r="D36" s="1"/>
    </row>
    <row r="37" spans="1:6" x14ac:dyDescent="0.2">
      <c r="A37" s="1" t="s">
        <v>3</v>
      </c>
      <c r="B37" s="1"/>
      <c r="C37" s="6"/>
      <c r="D37" s="4"/>
    </row>
    <row r="38" spans="1:6" x14ac:dyDescent="0.2">
      <c r="A38" s="3" t="s">
        <v>3</v>
      </c>
      <c r="B38" s="1"/>
      <c r="C38" s="6"/>
      <c r="D38" s="1"/>
    </row>
    <row r="39" spans="1:6" x14ac:dyDescent="0.2">
      <c r="A39" s="1"/>
      <c r="B39" s="1"/>
      <c r="C39" s="6"/>
      <c r="D39" s="1"/>
    </row>
    <row r="40" spans="1:6" x14ac:dyDescent="0.2">
      <c r="A40" s="1"/>
      <c r="B40" s="1"/>
      <c r="C40" s="6"/>
      <c r="D40" s="8"/>
    </row>
    <row r="41" spans="1:6" x14ac:dyDescent="0.2">
      <c r="A41" s="1"/>
      <c r="B41" s="1"/>
      <c r="C41" s="6"/>
      <c r="D41" s="1"/>
    </row>
    <row r="42" spans="1:6" x14ac:dyDescent="0.2">
      <c r="A42" s="1"/>
      <c r="B42" s="1"/>
      <c r="C42" s="6"/>
      <c r="D42" s="1"/>
    </row>
    <row r="43" spans="1:6" x14ac:dyDescent="0.2">
      <c r="A43" s="1"/>
      <c r="B43" s="1"/>
      <c r="C43" s="6"/>
      <c r="D43" s="1"/>
    </row>
    <row r="44" spans="1:6" x14ac:dyDescent="0.2">
      <c r="A44" s="1"/>
      <c r="B44" s="1"/>
      <c r="C44" s="6"/>
      <c r="D44" s="1"/>
    </row>
    <row r="45" spans="1:6" x14ac:dyDescent="0.2">
      <c r="A45" s="1"/>
      <c r="B45" s="1"/>
      <c r="C45" s="6"/>
      <c r="D45" s="1"/>
    </row>
    <row r="46" spans="1:6" x14ac:dyDescent="0.2">
      <c r="A46" s="1"/>
      <c r="B46" s="1"/>
      <c r="C46" s="6"/>
      <c r="D46" s="1"/>
    </row>
    <row r="47" spans="1:6" x14ac:dyDescent="0.2">
      <c r="A47" s="1"/>
      <c r="B47" s="1"/>
      <c r="C47" s="6"/>
      <c r="D47" s="1"/>
    </row>
    <row r="48" spans="1:6" x14ac:dyDescent="0.2">
      <c r="A48" s="1"/>
      <c r="B48" s="1"/>
      <c r="C48" s="9"/>
      <c r="D48" s="1"/>
      <c r="F48" s="110"/>
    </row>
    <row r="49" spans="1:5" x14ac:dyDescent="0.2">
      <c r="A49" s="1"/>
      <c r="B49" s="10"/>
      <c r="C49" s="11" t="s">
        <v>3</v>
      </c>
      <c r="D49" s="1"/>
    </row>
    <row r="50" spans="1:5" x14ac:dyDescent="0.2">
      <c r="A50" s="1"/>
      <c r="B50" s="1"/>
      <c r="C50" s="9"/>
      <c r="D50" s="1"/>
    </row>
    <row r="51" spans="1:5" x14ac:dyDescent="0.2">
      <c r="A51" s="1"/>
      <c r="B51" s="1"/>
      <c r="C51" s="9"/>
      <c r="D51" s="1"/>
    </row>
    <row r="52" spans="1:5" x14ac:dyDescent="0.2">
      <c r="A52" s="1"/>
      <c r="B52" s="1"/>
      <c r="C52" s="9"/>
      <c r="D52" s="1"/>
    </row>
    <row r="53" spans="1:5" x14ac:dyDescent="0.2">
      <c r="A53" s="1"/>
      <c r="B53" s="1"/>
      <c r="C53" s="9"/>
      <c r="D53" s="1"/>
    </row>
    <row r="54" spans="1:5" x14ac:dyDescent="0.2">
      <c r="A54" s="1"/>
      <c r="B54" s="1"/>
      <c r="C54" s="9"/>
      <c r="D54" s="1"/>
    </row>
    <row r="55" spans="1:5" x14ac:dyDescent="0.2">
      <c r="A55" s="1" t="s">
        <v>3</v>
      </c>
      <c r="B55" s="1"/>
      <c r="C55" s="9"/>
      <c r="D55" s="4" t="s">
        <v>3</v>
      </c>
    </row>
    <row r="56" spans="1:5" x14ac:dyDescent="0.2">
      <c r="A56" s="3" t="s">
        <v>3</v>
      </c>
      <c r="B56" s="1"/>
      <c r="C56" s="9"/>
      <c r="D56" s="1"/>
    </row>
    <row r="57" spans="1:5" x14ac:dyDescent="0.2">
      <c r="A57" s="1"/>
      <c r="B57" s="1"/>
      <c r="C57" s="9"/>
      <c r="D57" s="1"/>
    </row>
    <row r="58" spans="1:5" x14ac:dyDescent="0.2">
      <c r="A58" s="1"/>
      <c r="B58" s="1"/>
      <c r="C58" s="9"/>
      <c r="D58" s="1"/>
    </row>
    <row r="59" spans="1:5" x14ac:dyDescent="0.2">
      <c r="A59" s="1"/>
      <c r="B59" s="1"/>
      <c r="C59" s="9"/>
      <c r="D59" s="1"/>
    </row>
    <row r="60" spans="1:5" x14ac:dyDescent="0.2">
      <c r="A60" s="1"/>
      <c r="B60" s="1"/>
      <c r="C60" s="9"/>
      <c r="D60" s="1"/>
    </row>
    <row r="61" spans="1:5" x14ac:dyDescent="0.2">
      <c r="A61" s="1"/>
      <c r="B61" s="1"/>
      <c r="C61" s="9"/>
      <c r="D61" s="1"/>
    </row>
    <row r="62" spans="1:5" x14ac:dyDescent="0.2">
      <c r="A62" s="1"/>
      <c r="B62" s="1"/>
      <c r="C62" s="9"/>
      <c r="D62" s="1"/>
    </row>
    <row r="63" spans="1:5" x14ac:dyDescent="0.2">
      <c r="A63" s="1"/>
      <c r="B63" s="1"/>
      <c r="C63" s="9"/>
      <c r="D63" s="1"/>
    </row>
    <row r="64" spans="1:5" ht="16.5" customHeight="1" x14ac:dyDescent="0.2">
      <c r="A64" s="1"/>
      <c r="B64" s="1"/>
      <c r="C64" s="9"/>
      <c r="D64" s="5"/>
      <c r="E64" s="111"/>
    </row>
    <row r="65" spans="1:4" x14ac:dyDescent="0.2">
      <c r="A65" s="1"/>
      <c r="B65" s="1"/>
      <c r="C65" s="9"/>
      <c r="D65" s="1"/>
    </row>
    <row r="66" spans="1:4" x14ac:dyDescent="0.2">
      <c r="A66" s="1"/>
      <c r="B66" s="1"/>
      <c r="C66" s="9"/>
      <c r="D66" s="1"/>
    </row>
    <row r="67" spans="1:4" x14ac:dyDescent="0.2">
      <c r="A67" s="1"/>
      <c r="B67" s="1"/>
      <c r="C67" s="9"/>
      <c r="D67" s="1"/>
    </row>
    <row r="68" spans="1:4" x14ac:dyDescent="0.2">
      <c r="A68" s="1"/>
      <c r="B68" s="1"/>
      <c r="C68" s="9"/>
      <c r="D68" s="1"/>
    </row>
    <row r="69" spans="1:4" x14ac:dyDescent="0.2">
      <c r="A69" s="1"/>
      <c r="B69" s="1"/>
      <c r="C69" s="9"/>
      <c r="D69" s="1"/>
    </row>
    <row r="70" spans="1:4" x14ac:dyDescent="0.2">
      <c r="A70" s="1"/>
      <c r="B70" s="1"/>
      <c r="C70" s="9"/>
      <c r="D70" s="1"/>
    </row>
    <row r="71" spans="1:4" x14ac:dyDescent="0.2">
      <c r="A71" s="1"/>
      <c r="B71" s="1"/>
      <c r="C71" s="9"/>
      <c r="D71" s="1"/>
    </row>
    <row r="72" spans="1:4" x14ac:dyDescent="0.2">
      <c r="A72" s="1"/>
      <c r="B72" s="1"/>
      <c r="C72" s="9"/>
      <c r="D72" s="1"/>
    </row>
    <row r="73" spans="1:4" x14ac:dyDescent="0.2">
      <c r="A73" s="1" t="s">
        <v>3</v>
      </c>
      <c r="B73" s="1"/>
      <c r="C73" s="9"/>
      <c r="D73" s="1"/>
    </row>
    <row r="74" spans="1:4" x14ac:dyDescent="0.2">
      <c r="A74" s="3" t="s">
        <v>3</v>
      </c>
      <c r="B74" s="1"/>
      <c r="C74" s="9"/>
      <c r="D74" s="1"/>
    </row>
    <row r="75" spans="1:4" x14ac:dyDescent="0.2">
      <c r="A75" s="1"/>
      <c r="B75" s="1"/>
      <c r="C75" s="9"/>
      <c r="D75" s="1"/>
    </row>
    <row r="76" spans="1:4" x14ac:dyDescent="0.2">
      <c r="A76" s="1"/>
      <c r="B76" s="1"/>
      <c r="C76" s="9"/>
      <c r="D76" s="1"/>
    </row>
    <row r="77" spans="1:4" x14ac:dyDescent="0.2">
      <c r="A77" s="1"/>
      <c r="B77" s="1"/>
      <c r="C77" s="9"/>
      <c r="D77" s="1"/>
    </row>
    <row r="78" spans="1:4" x14ac:dyDescent="0.2">
      <c r="A78" s="1"/>
      <c r="B78" s="1"/>
      <c r="C78" s="9"/>
      <c r="D78" s="1"/>
    </row>
    <row r="79" spans="1:4" x14ac:dyDescent="0.2">
      <c r="A79" s="1"/>
      <c r="B79" s="1"/>
      <c r="C79" s="9"/>
      <c r="D79" s="1"/>
    </row>
    <row r="80" spans="1:4" x14ac:dyDescent="0.2">
      <c r="A80" s="1"/>
      <c r="B80" s="1"/>
      <c r="C80" s="9"/>
      <c r="D80" s="1"/>
    </row>
    <row r="81" spans="1:4" x14ac:dyDescent="0.2">
      <c r="A81" s="1"/>
      <c r="B81" s="1"/>
      <c r="C81" s="9"/>
      <c r="D81" s="1"/>
    </row>
    <row r="82" spans="1:4" x14ac:dyDescent="0.2">
      <c r="A82" s="1"/>
      <c r="B82" s="1"/>
      <c r="C82" s="9"/>
      <c r="D82" s="1"/>
    </row>
    <row r="83" spans="1:4" x14ac:dyDescent="0.2">
      <c r="A83" s="1"/>
      <c r="B83" s="1"/>
      <c r="C83" s="9"/>
      <c r="D83" s="1"/>
    </row>
    <row r="84" spans="1:4" x14ac:dyDescent="0.2">
      <c r="A84" s="1"/>
      <c r="B84" s="1"/>
      <c r="C84" s="9"/>
      <c r="D84" s="1"/>
    </row>
    <row r="85" spans="1:4" x14ac:dyDescent="0.2">
      <c r="A85" s="1"/>
      <c r="B85" s="1"/>
      <c r="C85" s="9"/>
      <c r="D85" s="1"/>
    </row>
    <row r="86" spans="1:4" x14ac:dyDescent="0.2">
      <c r="A86" s="1"/>
      <c r="B86" s="1"/>
      <c r="C86" s="9"/>
      <c r="D86" s="1"/>
    </row>
    <row r="87" spans="1:4" x14ac:dyDescent="0.2">
      <c r="A87" s="1"/>
      <c r="B87" s="1"/>
      <c r="C87" s="9"/>
      <c r="D87" s="1"/>
    </row>
    <row r="88" spans="1:4" x14ac:dyDescent="0.2">
      <c r="A88" s="1"/>
      <c r="B88" s="1"/>
      <c r="C88" s="9"/>
      <c r="D88" s="1"/>
    </row>
    <row r="89" spans="1:4" x14ac:dyDescent="0.2">
      <c r="B89" s="1"/>
      <c r="C89" s="9"/>
    </row>
    <row r="90" spans="1:4" x14ac:dyDescent="0.2">
      <c r="C90" s="9"/>
    </row>
    <row r="91" spans="1:4" x14ac:dyDescent="0.2">
      <c r="C91" s="9"/>
    </row>
    <row r="92" spans="1:4" x14ac:dyDescent="0.2">
      <c r="C92" s="9"/>
    </row>
    <row r="93" spans="1:4" x14ac:dyDescent="0.2">
      <c r="C93" s="9"/>
    </row>
    <row r="94" spans="1:4" x14ac:dyDescent="0.2">
      <c r="C94" s="9"/>
    </row>
    <row r="95" spans="1:4" x14ac:dyDescent="0.2">
      <c r="C95" s="9"/>
    </row>
    <row r="96" spans="1:4" x14ac:dyDescent="0.2">
      <c r="C96" s="9"/>
    </row>
    <row r="97" spans="3:3" x14ac:dyDescent="0.2">
      <c r="C97" s="9"/>
    </row>
    <row r="98" spans="3:3" x14ac:dyDescent="0.2">
      <c r="C98" s="9"/>
    </row>
    <row r="99" spans="3:3" x14ac:dyDescent="0.2">
      <c r="C99" s="9"/>
    </row>
    <row r="100" spans="3:3" x14ac:dyDescent="0.2">
      <c r="C100" s="9"/>
    </row>
    <row r="101" spans="3:3" x14ac:dyDescent="0.2">
      <c r="C101" s="9"/>
    </row>
    <row r="102" spans="3:3" x14ac:dyDescent="0.2">
      <c r="C102" s="9"/>
    </row>
    <row r="103" spans="3:3" x14ac:dyDescent="0.2">
      <c r="C103" s="9"/>
    </row>
    <row r="104" spans="3:3" x14ac:dyDescent="0.2">
      <c r="C104" s="9"/>
    </row>
    <row r="105" spans="3:3" x14ac:dyDescent="0.2">
      <c r="C105" s="9"/>
    </row>
    <row r="106" spans="3:3" x14ac:dyDescent="0.2">
      <c r="C106" s="9"/>
    </row>
    <row r="107" spans="3:3" x14ac:dyDescent="0.2">
      <c r="C107" s="9"/>
    </row>
    <row r="108" spans="3:3" x14ac:dyDescent="0.2">
      <c r="C108" s="9"/>
    </row>
    <row r="109" spans="3:3" x14ac:dyDescent="0.2">
      <c r="C109" s="9"/>
    </row>
    <row r="110" spans="3:3" x14ac:dyDescent="0.2">
      <c r="C110" s="9"/>
    </row>
    <row r="111" spans="3:3" x14ac:dyDescent="0.2">
      <c r="C111" s="9"/>
    </row>
    <row r="112" spans="3:3" x14ac:dyDescent="0.2">
      <c r="C112" s="9"/>
    </row>
    <row r="113" spans="3:3" x14ac:dyDescent="0.2">
      <c r="C113" s="9"/>
    </row>
    <row r="114" spans="3:3" x14ac:dyDescent="0.2">
      <c r="C114" s="9"/>
    </row>
  </sheetData>
  <sheetProtection algorithmName="SHA-512" hashValue="XgW6IgQxIu59bKT22K+CjGk9RrkGBzq01ut4auQfwbYngw18pJkKtoS0b0VlKoA6B1WuAvHITKEZnXEB482NBA==" saltValue="B69L+QaES96QQXvvxoNucw==" spinCount="100000" sheet="1" objects="1" scenarios="1"/>
  <mergeCells count="1">
    <mergeCell ref="B2:C2"/>
  </mergeCells>
  <phoneticPr fontId="0" type="noConversion"/>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sheetPr>
  <dimension ref="A1:K57"/>
  <sheetViews>
    <sheetView topLeftCell="A4" zoomScaleNormal="100" workbookViewId="0">
      <selection activeCell="C25" sqref="C25"/>
    </sheetView>
  </sheetViews>
  <sheetFormatPr defaultColWidth="11.42578125" defaultRowHeight="12.75" x14ac:dyDescent="0.2"/>
  <cols>
    <col min="1" max="1" width="9.140625" style="67" customWidth="1"/>
    <col min="2" max="2" width="68.42578125" style="67" customWidth="1"/>
    <col min="3" max="3" width="26.42578125" style="81" customWidth="1"/>
    <col min="4" max="4" width="31" style="67" customWidth="1"/>
    <col min="5" max="5" width="27.85546875" style="67" customWidth="1"/>
    <col min="6" max="16384" width="11.42578125" style="67"/>
  </cols>
  <sheetData>
    <row r="1" spans="1:5" x14ac:dyDescent="0.2">
      <c r="A1" s="1"/>
      <c r="B1" s="1"/>
      <c r="C1" s="23"/>
    </row>
    <row r="2" spans="1:5" ht="18" x14ac:dyDescent="0.25">
      <c r="A2" s="1"/>
      <c r="B2" s="567" t="s">
        <v>236</v>
      </c>
      <c r="C2" s="567"/>
    </row>
    <row r="3" spans="1:5" x14ac:dyDescent="0.2">
      <c r="A3" s="1"/>
      <c r="B3" s="1"/>
      <c r="C3" s="23"/>
    </row>
    <row r="4" spans="1:5" ht="15.75" x14ac:dyDescent="0.25">
      <c r="A4" s="1"/>
      <c r="B4" s="569" t="s">
        <v>80</v>
      </c>
      <c r="C4" s="570"/>
    </row>
    <row r="5" spans="1:5" x14ac:dyDescent="0.2">
      <c r="A5" s="1"/>
      <c r="B5" s="383" t="s">
        <v>44</v>
      </c>
      <c r="C5" s="384"/>
    </row>
    <row r="6" spans="1:5" x14ac:dyDescent="0.2">
      <c r="A6" s="1"/>
      <c r="B6" s="314" t="s">
        <v>58</v>
      </c>
      <c r="C6" s="386">
        <v>35</v>
      </c>
      <c r="D6" s="79"/>
      <c r="E6" s="79"/>
    </row>
    <row r="7" spans="1:5" x14ac:dyDescent="0.2">
      <c r="A7" s="1"/>
      <c r="B7" s="325" t="s">
        <v>21</v>
      </c>
      <c r="C7" s="386">
        <v>50</v>
      </c>
      <c r="D7" s="80"/>
      <c r="E7" s="79"/>
    </row>
    <row r="8" spans="1:5" x14ac:dyDescent="0.2">
      <c r="A8" s="1"/>
      <c r="B8" s="314" t="s">
        <v>148</v>
      </c>
      <c r="C8" s="386">
        <v>15</v>
      </c>
      <c r="D8" s="92"/>
      <c r="E8" s="79"/>
    </row>
    <row r="9" spans="1:5" x14ac:dyDescent="0.2">
      <c r="A9" s="1"/>
      <c r="B9" s="314" t="s">
        <v>211</v>
      </c>
      <c r="C9" s="386">
        <v>0</v>
      </c>
      <c r="D9" s="92"/>
      <c r="E9" s="79"/>
    </row>
    <row r="10" spans="1:5" x14ac:dyDescent="0.2">
      <c r="A10" s="1"/>
      <c r="B10" s="528" t="s">
        <v>196</v>
      </c>
      <c r="C10" s="386">
        <v>0</v>
      </c>
      <c r="D10" s="92"/>
      <c r="E10" s="79"/>
    </row>
    <row r="11" spans="1:5" x14ac:dyDescent="0.2">
      <c r="A11" s="1"/>
      <c r="B11" s="528" t="s">
        <v>197</v>
      </c>
      <c r="C11" s="386">
        <v>0</v>
      </c>
      <c r="D11" s="92"/>
      <c r="E11" s="79"/>
    </row>
    <row r="12" spans="1:5" x14ac:dyDescent="0.2">
      <c r="A12" s="1"/>
      <c r="B12" s="374" t="s">
        <v>1</v>
      </c>
      <c r="C12" s="375">
        <f>+SUM(C6:C11)</f>
        <v>100</v>
      </c>
      <c r="D12" s="92"/>
      <c r="E12" s="79"/>
    </row>
    <row r="13" spans="1:5" x14ac:dyDescent="0.2">
      <c r="A13" s="1"/>
      <c r="B13" s="314" t="s">
        <v>159</v>
      </c>
      <c r="C13" s="387">
        <v>4</v>
      </c>
      <c r="D13" s="79"/>
    </row>
    <row r="14" spans="1:5" x14ac:dyDescent="0.2">
      <c r="A14" s="1"/>
      <c r="B14" s="383" t="s">
        <v>57</v>
      </c>
      <c r="C14" s="385"/>
      <c r="D14" s="79"/>
    </row>
    <row r="15" spans="1:5" x14ac:dyDescent="0.2">
      <c r="A15" s="1"/>
      <c r="B15" s="180" t="s">
        <v>142</v>
      </c>
      <c r="C15" s="388">
        <v>0.11</v>
      </c>
      <c r="D15" s="79"/>
    </row>
    <row r="16" spans="1:5" x14ac:dyDescent="0.2">
      <c r="A16" s="1"/>
      <c r="B16" s="180" t="s">
        <v>143</v>
      </c>
      <c r="C16" s="388">
        <v>0.22</v>
      </c>
      <c r="D16" s="79"/>
    </row>
    <row r="17" spans="1:11" x14ac:dyDescent="0.2">
      <c r="A17" s="1"/>
      <c r="B17" s="180" t="s">
        <v>144</v>
      </c>
      <c r="C17" s="388">
        <v>0.44</v>
      </c>
      <c r="D17" s="79"/>
    </row>
    <row r="18" spans="1:11" x14ac:dyDescent="0.2">
      <c r="A18" s="1"/>
      <c r="B18" s="180" t="s">
        <v>145</v>
      </c>
      <c r="C18" s="388">
        <v>0.44</v>
      </c>
      <c r="D18" s="79"/>
    </row>
    <row r="19" spans="1:11" x14ac:dyDescent="0.2">
      <c r="A19" s="1"/>
      <c r="B19" s="180" t="s">
        <v>146</v>
      </c>
      <c r="C19" s="388">
        <v>0.33</v>
      </c>
      <c r="D19" s="79"/>
    </row>
    <row r="20" spans="1:11" x14ac:dyDescent="0.2">
      <c r="A20" s="1"/>
      <c r="B20" s="180" t="s">
        <v>147</v>
      </c>
      <c r="C20" s="388">
        <v>0.11</v>
      </c>
      <c r="D20" s="79"/>
    </row>
    <row r="21" spans="1:11" x14ac:dyDescent="0.2">
      <c r="A21" s="1"/>
      <c r="B21" s="180" t="s">
        <v>212</v>
      </c>
      <c r="C21" s="377">
        <f>+Ration_per_one_larva_on_day_1*L1_per_colony_tray/1000</f>
        <v>1.98</v>
      </c>
      <c r="D21" s="391">
        <f>+Volume_ol_larval_diet_added_on_day_1/($C$13/100)</f>
        <v>49.5</v>
      </c>
      <c r="E21" s="69"/>
      <c r="G21" s="69"/>
      <c r="K21" s="69"/>
    </row>
    <row r="22" spans="1:11" x14ac:dyDescent="0.2">
      <c r="A22" s="1"/>
      <c r="B22" s="180" t="s">
        <v>213</v>
      </c>
      <c r="C22" s="377">
        <f>+Ration_per_one_larva_on_day_2*L1_per_colony_tray/1000</f>
        <v>3.96</v>
      </c>
      <c r="D22" s="391">
        <f>+Volume_ol_larval_diet_added_on_day_2/($C$13/100)</f>
        <v>99</v>
      </c>
      <c r="E22" s="69"/>
    </row>
    <row r="23" spans="1:11" x14ac:dyDescent="0.2">
      <c r="A23" s="1"/>
      <c r="B23" s="180" t="s">
        <v>214</v>
      </c>
      <c r="C23" s="377">
        <f>+Ration_per_one_larva_on_day_3*L1_per_colony_tray/1000</f>
        <v>7.92</v>
      </c>
      <c r="D23" s="391">
        <f>+Volume_ol_larval_diet_added_on_day_3/($C$13/100)</f>
        <v>198</v>
      </c>
      <c r="E23" s="69"/>
    </row>
    <row r="24" spans="1:11" x14ac:dyDescent="0.2">
      <c r="A24" s="1"/>
      <c r="B24" s="180" t="s">
        <v>215</v>
      </c>
      <c r="C24" s="377">
        <f>+Ration_per_one_larva_on_day_4*L1_per_colony_tray/1000</f>
        <v>7.92</v>
      </c>
      <c r="D24" s="391">
        <f>+Volume_ol_larval_diet_added_on_day_4/($C$13/100)</f>
        <v>198</v>
      </c>
      <c r="E24" s="69"/>
    </row>
    <row r="25" spans="1:11" x14ac:dyDescent="0.2">
      <c r="A25" s="1"/>
      <c r="B25" s="180" t="s">
        <v>216</v>
      </c>
      <c r="C25" s="377">
        <f>+Ration_per_one_larva_on_day_5*L1_per_colony_tray/1000</f>
        <v>5.94</v>
      </c>
      <c r="D25" s="391">
        <f>+Volume_ol_larval_diet_added_on_day_5/($C$13/100)</f>
        <v>148.5</v>
      </c>
    </row>
    <row r="26" spans="1:11" x14ac:dyDescent="0.2">
      <c r="A26" s="1"/>
      <c r="B26" s="180" t="s">
        <v>217</v>
      </c>
      <c r="C26" s="377">
        <f>+Ration_per_one_larva_on_day_6_and_after*L1_per_colony_tray/1000</f>
        <v>1.98</v>
      </c>
      <c r="D26" s="391">
        <f>+Volume_ol_larval_diet_added_on_day_6/($C$13/100)</f>
        <v>49.5</v>
      </c>
    </row>
    <row r="27" spans="1:11" x14ac:dyDescent="0.2">
      <c r="A27" s="1"/>
      <c r="B27" s="180" t="s">
        <v>218</v>
      </c>
      <c r="C27" s="377">
        <f>+Ration_per_one_larva_on_day_6_and_after*L1_per_colony_tray/1000</f>
        <v>1.98</v>
      </c>
      <c r="D27" s="391">
        <f>+Volume_ol_larval_diet_added_on_day_7__after_1st_sorting/(C13/100)</f>
        <v>49.5</v>
      </c>
    </row>
    <row r="28" spans="1:11" x14ac:dyDescent="0.2">
      <c r="A28" s="1"/>
      <c r="B28" s="180" t="s">
        <v>219</v>
      </c>
      <c r="C28" s="377">
        <f>+Ration_per_one_larva_on_day_6_and_after*L1_per_colony_tray/1000</f>
        <v>1.98</v>
      </c>
      <c r="D28" s="391">
        <f>+Volume_ol_larval_diet_added_on_day_8__after_2nd_sorting/(C13/100)</f>
        <v>49.5</v>
      </c>
    </row>
    <row r="29" spans="1:11" ht="18" x14ac:dyDescent="0.25">
      <c r="A29" s="1"/>
      <c r="B29" s="24"/>
      <c r="C29" s="86"/>
    </row>
    <row r="30" spans="1:11" ht="15.75" x14ac:dyDescent="0.25">
      <c r="A30" s="1"/>
      <c r="B30" s="569" t="s">
        <v>81</v>
      </c>
      <c r="C30" s="570"/>
    </row>
    <row r="31" spans="1:11" x14ac:dyDescent="0.2">
      <c r="A31" s="1"/>
      <c r="B31" s="373" t="s">
        <v>44</v>
      </c>
      <c r="C31" s="376"/>
    </row>
    <row r="32" spans="1:11" x14ac:dyDescent="0.2">
      <c r="A32" s="1"/>
      <c r="B32" s="378" t="s">
        <v>43</v>
      </c>
      <c r="C32" s="387">
        <v>10</v>
      </c>
      <c r="D32" s="69"/>
    </row>
    <row r="33" spans="1:7" x14ac:dyDescent="0.2">
      <c r="A33" s="1"/>
      <c r="B33" s="378" t="s">
        <v>42</v>
      </c>
      <c r="C33" s="379">
        <f>100-C32</f>
        <v>90</v>
      </c>
    </row>
    <row r="34" spans="1:7" x14ac:dyDescent="0.2">
      <c r="A34" s="1"/>
      <c r="B34" s="373" t="s">
        <v>45</v>
      </c>
      <c r="C34" s="376"/>
    </row>
    <row r="35" spans="1:7" x14ac:dyDescent="0.2">
      <c r="A35" s="1"/>
      <c r="B35" s="175" t="s">
        <v>39</v>
      </c>
      <c r="C35" s="389">
        <v>0.03</v>
      </c>
      <c r="D35" s="69"/>
    </row>
    <row r="36" spans="1:7" x14ac:dyDescent="0.2">
      <c r="A36" s="1"/>
      <c r="B36" s="175" t="s">
        <v>38</v>
      </c>
      <c r="C36" s="389">
        <v>0.1</v>
      </c>
      <c r="D36" s="69"/>
    </row>
    <row r="37" spans="1:7" x14ac:dyDescent="0.2">
      <c r="A37" s="1"/>
      <c r="B37" s="175" t="s">
        <v>41</v>
      </c>
      <c r="C37" s="380">
        <f>+Weight_of_sugar_per_colony_cage*Water_percentage_in_adult_diet/Sugar_percentage_in_adult_diet</f>
        <v>0.26999999999999996</v>
      </c>
    </row>
    <row r="38" spans="1:7" x14ac:dyDescent="0.2">
      <c r="A38" s="1"/>
      <c r="B38" s="175" t="s">
        <v>40</v>
      </c>
      <c r="C38" s="380">
        <f>+Water_percentage_in_adult_diet*Weight_of_sugar_per_MO_cage/Sugar_percentage_in_adult_diet</f>
        <v>0.9</v>
      </c>
    </row>
    <row r="39" spans="1:7" x14ac:dyDescent="0.2">
      <c r="A39" s="1"/>
      <c r="B39" s="180" t="s">
        <v>239</v>
      </c>
      <c r="C39" s="408">
        <v>5</v>
      </c>
    </row>
    <row r="40" spans="1:7" x14ac:dyDescent="0.2">
      <c r="A40" s="1"/>
      <c r="B40" s="373" t="s">
        <v>156</v>
      </c>
      <c r="C40" s="376"/>
    </row>
    <row r="41" spans="1:7" x14ac:dyDescent="0.2">
      <c r="A41" s="1"/>
      <c r="B41" s="180" t="s">
        <v>326</v>
      </c>
      <c r="C41" s="390">
        <f>0.0015*1000</f>
        <v>1.5</v>
      </c>
    </row>
    <row r="42" spans="1:7" x14ac:dyDescent="0.2">
      <c r="A42" s="1"/>
      <c r="B42" s="180" t="s">
        <v>227</v>
      </c>
      <c r="C42" s="465">
        <f>+ROUNDUP(Average_Blood_intake_per_female*females_in_colony_cages*'03 Pro Par'!I48,0)/1000</f>
        <v>106.25</v>
      </c>
    </row>
    <row r="43" spans="1:7" x14ac:dyDescent="0.2">
      <c r="A43" s="1"/>
      <c r="B43" s="381" t="s">
        <v>188</v>
      </c>
      <c r="C43" s="382">
        <f>+ROUNDUP(Average_Blood_intake_per_female*females_in_colony_cages/1000,0)</f>
        <v>22</v>
      </c>
      <c r="E43" s="74"/>
      <c r="G43" s="69"/>
    </row>
    <row r="44" spans="1:7" ht="18" x14ac:dyDescent="0.25">
      <c r="A44" s="1"/>
      <c r="B44" s="24"/>
      <c r="C44" s="25"/>
      <c r="E44" s="93"/>
    </row>
    <row r="45" spans="1:7" ht="18" x14ac:dyDescent="0.25">
      <c r="A45" s="1"/>
      <c r="B45" s="24"/>
      <c r="C45" s="25"/>
    </row>
    <row r="46" spans="1:7" ht="18" x14ac:dyDescent="0.25">
      <c r="A46" s="1"/>
      <c r="B46" s="24"/>
      <c r="C46" s="25"/>
    </row>
    <row r="47" spans="1:7" ht="18" x14ac:dyDescent="0.25">
      <c r="A47" s="1"/>
      <c r="B47" s="24"/>
      <c r="C47" s="25"/>
    </row>
    <row r="48" spans="1:7" ht="18" x14ac:dyDescent="0.25">
      <c r="A48" s="1"/>
      <c r="B48" s="24"/>
      <c r="C48" s="25"/>
    </row>
    <row r="49" spans="1:3" ht="18" x14ac:dyDescent="0.25">
      <c r="A49" s="1"/>
      <c r="B49" s="24"/>
      <c r="C49" s="25"/>
    </row>
    <row r="50" spans="1:3" ht="18" x14ac:dyDescent="0.25">
      <c r="A50" s="1"/>
      <c r="B50" s="24"/>
      <c r="C50" s="25"/>
    </row>
    <row r="51" spans="1:3" x14ac:dyDescent="0.2">
      <c r="A51" s="1"/>
      <c r="B51" s="26"/>
      <c r="C51" s="27"/>
    </row>
    <row r="52" spans="1:3" x14ac:dyDescent="0.2">
      <c r="B52" s="26"/>
      <c r="C52" s="22"/>
    </row>
    <row r="53" spans="1:3" x14ac:dyDescent="0.2">
      <c r="B53" s="26"/>
      <c r="C53" s="22"/>
    </row>
    <row r="54" spans="1:3" x14ac:dyDescent="0.2">
      <c r="B54" s="26"/>
      <c r="C54" s="22"/>
    </row>
    <row r="55" spans="1:3" x14ac:dyDescent="0.2">
      <c r="B55" s="26"/>
      <c r="C55" s="22"/>
    </row>
    <row r="56" spans="1:3" x14ac:dyDescent="0.2">
      <c r="B56" s="26"/>
      <c r="C56" s="22"/>
    </row>
    <row r="57" spans="1:3" x14ac:dyDescent="0.2">
      <c r="B57" s="26"/>
      <c r="C57" s="22"/>
    </row>
  </sheetData>
  <sheetProtection algorithmName="SHA-512" hashValue="IKAFwWJElyjSQWZ6f69Nk7iYoiF9t8OutBJDQhZhYv/yWX0ZzxLR9hL7rvWpIfqB1TeclKYhoR8pk8YG0n0Pmw==" saltValue="MlhhycTjdMCDkpg8N2nKmQ==" spinCount="100000" sheet="1" objects="1" scenarios="1"/>
  <mergeCells count="3">
    <mergeCell ref="B2:C2"/>
    <mergeCell ref="B4:C4"/>
    <mergeCell ref="B30:C30"/>
  </mergeCells>
  <phoneticPr fontId="0" type="noConversion"/>
  <pageMargins left="0.75" right="0.75" top="1" bottom="1" header="0.5" footer="0.5"/>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sheetPr>
  <dimension ref="A1:G22"/>
  <sheetViews>
    <sheetView zoomScaleNormal="100" workbookViewId="0">
      <selection activeCell="D16" sqref="D16"/>
    </sheetView>
  </sheetViews>
  <sheetFormatPr defaultColWidth="11.42578125" defaultRowHeight="12.75" x14ac:dyDescent="0.2"/>
  <cols>
    <col min="1" max="1" width="9.140625" style="67" customWidth="1"/>
    <col min="2" max="2" width="49" style="67" customWidth="1"/>
    <col min="3" max="3" width="14.7109375" style="67" customWidth="1"/>
    <col min="4" max="4" width="15.140625" style="67" customWidth="1"/>
    <col min="5" max="16384" width="11.42578125" style="67"/>
  </cols>
  <sheetData>
    <row r="1" spans="1:7" x14ac:dyDescent="0.2">
      <c r="B1" s="1"/>
      <c r="C1" s="1"/>
      <c r="D1" s="1"/>
      <c r="E1" s="1"/>
    </row>
    <row r="2" spans="1:7" ht="18" x14ac:dyDescent="0.25">
      <c r="A2" s="1"/>
      <c r="B2" s="567" t="s">
        <v>260</v>
      </c>
      <c r="C2" s="567"/>
      <c r="D2" s="567"/>
    </row>
    <row r="3" spans="1:7" x14ac:dyDescent="0.2">
      <c r="E3" s="1"/>
    </row>
    <row r="4" spans="1:7" ht="15" x14ac:dyDescent="0.25">
      <c r="B4" s="338" t="s">
        <v>155</v>
      </c>
      <c r="C4" s="370" t="s">
        <v>2</v>
      </c>
      <c r="D4" s="370" t="s">
        <v>5</v>
      </c>
      <c r="E4" s="1"/>
    </row>
    <row r="5" spans="1:7" x14ac:dyDescent="0.2">
      <c r="B5" s="175" t="s">
        <v>58</v>
      </c>
      <c r="C5" s="349">
        <f>+Beef_liver_powder/100*((Volume_ol_larval_diet_added_on_day_1+Volume_ol_larval_diet_added_on_day_2+Volume_ol_larval_diet_added_on_day_3+Volume_ol_larval_diet_added_on_day_4+Volume_ol_larval_diet_added_on_day_5+Volume_ol_larval_diet_added_on_day_6)*Number_of_MO_larval_trays_to_be_loaded_with_L1_per_day/1000+Volume_ol_larval_diet_added_on_day_7__after_1st_sorting*'05 Mass rearing Facility'!C10+Volume_ol_larval_diet_added_on_day_8__after_2nd_sorting*'05 Mass rearing Facility'!C11)</f>
        <v>0.322245</v>
      </c>
      <c r="D5" s="350">
        <f t="shared" ref="D5:D12" si="0">+C5*7</f>
        <v>2.2557149999999999</v>
      </c>
      <c r="E5" s="1"/>
    </row>
    <row r="6" spans="1:7" x14ac:dyDescent="0.2">
      <c r="B6" s="175" t="s">
        <v>21</v>
      </c>
      <c r="C6" s="349">
        <f>+Tuna_meal_percentage/100*((Volume_ol_larval_diet_added_on_day_1+Volume_ol_larval_diet_added_on_day_2+Volume_ol_larval_diet_added_on_day_3+Volume_ol_larval_diet_added_on_day_4+Volume_ol_larval_diet_added_on_day_5+Volume_ol_larval_diet_added_on_day_6)*Number_of_MO_larval_trays_to_be_loaded_with_L1_per_day/1000+Volume_ol_larval_diet_added_on_day_7__after_1st_sorting*'05 Mass rearing Facility'!C10+Volume_ol_larval_diet_added_on_day_8__after_2nd_sorting*'05 Mass rearing Facility'!C11)</f>
        <v>0.46035000000000004</v>
      </c>
      <c r="D6" s="350">
        <f t="shared" si="0"/>
        <v>3.2224500000000003</v>
      </c>
      <c r="E6" s="1"/>
    </row>
    <row r="7" spans="1:7" x14ac:dyDescent="0.2">
      <c r="B7" s="180" t="s">
        <v>148</v>
      </c>
      <c r="C7" s="349">
        <f>+Brewer_yeast/100*((Volume_ol_larval_diet_added_on_day_1+Volume_ol_larval_diet_added_on_day_2+Volume_ol_larval_diet_added_on_day_3+Volume_ol_larval_diet_added_on_day_4+Volume_ol_larval_diet_added_on_day_5+Volume_ol_larval_diet_added_on_day_6)*Number_of_MO_larval_trays_to_be_loaded_with_L1_per_day/1000+Volume_ol_larval_diet_added_on_day_7__after_1st_sorting*'05 Mass rearing Facility'!C10+Volume_ol_larval_diet_added_on_day_8__after_2nd_sorting*'05 Mass rearing Facility'!C11)</f>
        <v>0.13810500000000001</v>
      </c>
      <c r="D7" s="350">
        <f t="shared" si="0"/>
        <v>0.96673500000000001</v>
      </c>
    </row>
    <row r="8" spans="1:7" x14ac:dyDescent="0.2">
      <c r="B8" s="180" t="s">
        <v>210</v>
      </c>
      <c r="C8" s="349">
        <f>+Component_4_percentage/100*((Volume_ol_larval_diet_added_on_day_1+Volume_ol_larval_diet_added_on_day_2+Volume_ol_larval_diet_added_on_day_3+Volume_ol_larval_diet_added_on_day_4+Volume_ol_larval_diet_added_on_day_5+Volume_ol_larval_diet_added_on_day_6)*Number_of_MO_larval_trays_to_be_loaded_with_L1_per_day/1000+Volume_ol_larval_diet_added_on_day_7__after_1st_sorting*'05 Mass rearing Facility'!C10+Volume_ol_larval_diet_added_on_day_8__after_2nd_sorting*'05 Mass rearing Facility'!C11)</f>
        <v>0</v>
      </c>
      <c r="D8" s="350">
        <f t="shared" si="0"/>
        <v>0</v>
      </c>
    </row>
    <row r="9" spans="1:7" x14ac:dyDescent="0.2">
      <c r="B9" s="180" t="s">
        <v>196</v>
      </c>
      <c r="C9" s="349">
        <f>+Component_5_percentage/100*((Volume_ol_larval_diet_added_on_day_1+Volume_ol_larval_diet_added_on_day_2+Volume_ol_larval_diet_added_on_day_3+Volume_ol_larval_diet_added_on_day_4+Volume_ol_larval_diet_added_on_day_5+Volume_ol_larval_diet_added_on_day_6)*Number_of_MO_larval_trays_to_be_loaded_with_L1_per_day/1000+Volume_ol_larval_diet_added_on_day_7__after_1st_sorting*'05 Mass rearing Facility'!C10+Volume_ol_larval_diet_added_on_day_8__after_2nd_sorting*'05 Mass rearing Facility'!C11)</f>
        <v>0</v>
      </c>
      <c r="D9" s="350">
        <f t="shared" si="0"/>
        <v>0</v>
      </c>
    </row>
    <row r="10" spans="1:7" x14ac:dyDescent="0.2">
      <c r="B10" s="180" t="s">
        <v>197</v>
      </c>
      <c r="C10" s="349">
        <f>+Component_6_percentage/100*((Volume_ol_larval_diet_added_on_day_1+Volume_ol_larval_diet_added_on_day_2+Volume_ol_larval_diet_added_on_day_3+Volume_ol_larval_diet_added_on_day_4+Volume_ol_larval_diet_added_on_day_5+Volume_ol_larval_diet_added_on_day_6)*Number_of_MO_larval_trays_to_be_loaded_with_L1_per_day/1000+Volume_ol_larval_diet_added_on_day_7__after_1st_sorting*'05 Mass rearing Facility'!C10+Volume_ol_larval_diet_added_on_day_8__after_2nd_sorting*'05 Mass rearing Facility'!C11)</f>
        <v>0</v>
      </c>
      <c r="D10" s="350">
        <f t="shared" si="0"/>
        <v>0</v>
      </c>
    </row>
    <row r="11" spans="1:7" x14ac:dyDescent="0.2">
      <c r="B11" s="180" t="s">
        <v>177</v>
      </c>
      <c r="C11" s="270">
        <f>+(C5+C6+C7+C8+C9+C10)/('06 Diet formulation'!C13/100)</f>
        <v>23.017500000000002</v>
      </c>
      <c r="D11" s="271">
        <f t="shared" si="0"/>
        <v>161.1225</v>
      </c>
    </row>
    <row r="12" spans="1:7" x14ac:dyDescent="0.2">
      <c r="B12" s="175" t="s">
        <v>59</v>
      </c>
      <c r="C12" s="270">
        <f>+(Number_of_MO_larval_trays_to_be_loaded_with_L1_per_day)*volume_of_colony_trays/1000+'07 Diet requirements'!C11</f>
        <v>209.01750000000001</v>
      </c>
      <c r="D12" s="271">
        <f t="shared" si="0"/>
        <v>1463.1225000000002</v>
      </c>
    </row>
    <row r="13" spans="1:7" x14ac:dyDescent="0.2">
      <c r="G13" s="475"/>
    </row>
    <row r="14" spans="1:7" ht="15" x14ac:dyDescent="0.25">
      <c r="B14" s="372" t="s">
        <v>235</v>
      </c>
      <c r="C14" s="371" t="s">
        <v>2</v>
      </c>
      <c r="D14" s="370" t="s">
        <v>5</v>
      </c>
    </row>
    <row r="15" spans="1:7" x14ac:dyDescent="0.2">
      <c r="B15" s="180" t="s">
        <v>327</v>
      </c>
      <c r="C15" s="272">
        <f>+Total_number_of_cages_permanently_in_use_for_MO_egg_production__Preoviposition_Oviposition/'06 Diet formulation'!C39*Volume_of_water_per_colony_cage</f>
        <v>1.1879999999999999</v>
      </c>
      <c r="D15" s="273">
        <f>+C15*7</f>
        <v>8.3159999999999989</v>
      </c>
    </row>
    <row r="16" spans="1:7" x14ac:dyDescent="0.2">
      <c r="B16" s="180" t="s">
        <v>328</v>
      </c>
      <c r="C16" s="274">
        <f>+MO_cages_loaded_per_day*Volume_of_water_per_MO_cage</f>
        <v>13.5</v>
      </c>
      <c r="D16" s="273">
        <f>+C16*7</f>
        <v>94.5</v>
      </c>
    </row>
    <row r="17" spans="2:4" x14ac:dyDescent="0.2">
      <c r="B17" s="367" t="s">
        <v>329</v>
      </c>
      <c r="C17" s="278">
        <f>+C16+C15</f>
        <v>14.688000000000001</v>
      </c>
      <c r="D17" s="273">
        <f>+D15+D16</f>
        <v>102.816</v>
      </c>
    </row>
    <row r="18" spans="2:4" x14ac:dyDescent="0.2">
      <c r="B18" s="180" t="s">
        <v>330</v>
      </c>
      <c r="C18" s="368">
        <f>+Total_number_of_cages_permanently_in_use_for_MO_egg_production__Preoviposition_Oviposition*Weight_of_sugar_per_colony_cage/'06 Diet formulation'!C39</f>
        <v>0.13199999999999998</v>
      </c>
      <c r="D18" s="369">
        <f>+C18*7</f>
        <v>0.92399999999999982</v>
      </c>
    </row>
    <row r="19" spans="2:4" x14ac:dyDescent="0.2">
      <c r="B19" s="180" t="s">
        <v>331</v>
      </c>
      <c r="C19" s="368">
        <f>+MO_cages_loaded_per_day*Weight_of_sugar_per_MO_cage</f>
        <v>1.5</v>
      </c>
      <c r="D19" s="369">
        <f>+C19*7</f>
        <v>10.5</v>
      </c>
    </row>
    <row r="20" spans="2:4" x14ac:dyDescent="0.2">
      <c r="B20" s="367" t="s">
        <v>332</v>
      </c>
      <c r="C20" s="368">
        <f>+C18+C19</f>
        <v>1.6319999999999999</v>
      </c>
      <c r="D20" s="369">
        <f>+D18+D19</f>
        <v>11.423999999999999</v>
      </c>
    </row>
    <row r="21" spans="2:4" x14ac:dyDescent="0.2">
      <c r="B21" s="175" t="s">
        <v>51</v>
      </c>
      <c r="C21" s="272">
        <f>+(Oviposition_cages_permanently_in_use_for_MO_egg_production+Pre_oviposition_cages_permanently_in_use_for_MO_egg_production/2)*'06 Diet formulation'!C42/'03 Pro Par'!I48/frequency_of_blood_feeding/1000</f>
        <v>0.19125</v>
      </c>
      <c r="D21" s="273">
        <f>+C21*7</f>
        <v>1.3387500000000001</v>
      </c>
    </row>
    <row r="22" spans="2:4" x14ac:dyDescent="0.2">
      <c r="B22" s="367" t="s">
        <v>333</v>
      </c>
      <c r="C22" s="354">
        <f>+C21</f>
        <v>0.19125</v>
      </c>
      <c r="D22" s="355">
        <f>+D21</f>
        <v>1.3387500000000001</v>
      </c>
    </row>
  </sheetData>
  <sheetProtection algorithmName="SHA-512" hashValue="ZDXTIR2UrouK6t5lnfudlalDxBT/ltoVA0msy36DeazTuEmsIqg+bY1fkV/DB4MSORKKh5izZ8oHMLz/joKvoQ==" saltValue="7EwvMIDelluERXjrHduVCA==" spinCount="100000" sheet="1" objects="1" scenarios="1"/>
  <mergeCells count="1">
    <mergeCell ref="B2:D2"/>
  </mergeCells>
  <phoneticPr fontId="0" type="noConversion"/>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301</vt:i4>
      </vt:variant>
    </vt:vector>
  </HeadingPairs>
  <TitlesOfParts>
    <vt:vector size="319" baseType="lpstr">
      <vt:lpstr>INTRO</vt:lpstr>
      <vt:lpstr>MENU</vt:lpstr>
      <vt:lpstr>01 Start up &amp; Summary</vt:lpstr>
      <vt:lpstr>02 Mass rearing Process</vt:lpstr>
      <vt:lpstr>03 Pro Par</vt:lpstr>
      <vt:lpstr>04 Release Facility</vt:lpstr>
      <vt:lpstr>05 Mass rearing Facility</vt:lpstr>
      <vt:lpstr>06 Diet formulation</vt:lpstr>
      <vt:lpstr>07 Diet requirements</vt:lpstr>
      <vt:lpstr>08 Storage of diet ingr.</vt:lpstr>
      <vt:lpstr>09 Rearing Equip.</vt:lpstr>
      <vt:lpstr>10 H T Env</vt:lpstr>
      <vt:lpstr>11 Water</vt:lpstr>
      <vt:lpstr>12 Area cal.</vt:lpstr>
      <vt:lpstr>13 Const. cost</vt:lpstr>
      <vt:lpstr>14 Workload</vt:lpstr>
      <vt:lpstr>15 Equipment-budget</vt:lpstr>
      <vt:lpstr>16 Diet-cost</vt:lpstr>
      <vt:lpstr>'13 Const. cost'!Adults_in_colony_cages</vt:lpstr>
      <vt:lpstr>'14 Workload'!Adults_in_colony_cages</vt:lpstr>
      <vt:lpstr>Adults_in_colony_cages</vt:lpstr>
      <vt:lpstr>'13 Const. cost'!Average_Blood_intake_per_female</vt:lpstr>
      <vt:lpstr>'14 Workload'!Average_Blood_intake_per_female</vt:lpstr>
      <vt:lpstr>Average_Blood_intake_per_female</vt:lpstr>
      <vt:lpstr>'13 Const. cost'!Average_number_of_eggs_per_female_for_the_1st_gonotrophic_cycle</vt:lpstr>
      <vt:lpstr>'14 Workload'!Average_number_of_eggs_per_female_for_the_1st_gonotrophic_cycle</vt:lpstr>
      <vt:lpstr>Average_number_of_eggs_per_female_for_the_1st_gonotrophic_cycle</vt:lpstr>
      <vt:lpstr>'13 Const. cost'!Average_number_of_eggs_per_female_for_the_2nd_gonotrophic_cycle</vt:lpstr>
      <vt:lpstr>'14 Workload'!Average_number_of_eggs_per_female_for_the_2nd_gonotrophic_cycle</vt:lpstr>
      <vt:lpstr>Average_number_of_eggs_per_female_for_the_2nd_gonotrophic_cycle</vt:lpstr>
      <vt:lpstr>'13 Const. cost'!Average_number_of_eggs_per_female_for_the_3rd_gonotrophic_cycle</vt:lpstr>
      <vt:lpstr>'14 Workload'!Average_number_of_eggs_per_female_for_the_3rd_gonotrophic_cycle</vt:lpstr>
      <vt:lpstr>Average_number_of_eggs_per_female_for_the_3rd_gonotrophic_cycle</vt:lpstr>
      <vt:lpstr>'13 Const. cost'!Average_ovipositing_rate_during_oviposition_period</vt:lpstr>
      <vt:lpstr>'14 Workload'!Average_ovipositing_rate_during_oviposition_period</vt:lpstr>
      <vt:lpstr>Average_ovipositing_rate_during_oviposition_period</vt:lpstr>
      <vt:lpstr>'13 Const. cost'!Beef_liver_powder</vt:lpstr>
      <vt:lpstr>'14 Workload'!Beef_liver_powder</vt:lpstr>
      <vt:lpstr>Beef_liver_powder</vt:lpstr>
      <vt:lpstr>Beef_liver_powder_percentage</vt:lpstr>
      <vt:lpstr>beef_liver_powder_perecntage</vt:lpstr>
      <vt:lpstr>Blood_for_colony_females_per_day</vt:lpstr>
      <vt:lpstr>'13 Const. cost'!Brewer_yeast</vt:lpstr>
      <vt:lpstr>'14 Workload'!Brewer_yeast</vt:lpstr>
      <vt:lpstr>Brewer_yeast</vt:lpstr>
      <vt:lpstr>Brewer_yeast__percentage</vt:lpstr>
      <vt:lpstr>Brewers_yeast_percentage</vt:lpstr>
      <vt:lpstr>'13 Const. cost'!Cage_units_to_be_loaded_per_day_to_produce_the_eggs_for_stockpiling</vt:lpstr>
      <vt:lpstr>'14 Workload'!Cage_units_to_be_loaded_per_day_to_produce_the_eggs_for_stockpiling</vt:lpstr>
      <vt:lpstr>Cage_units_to_be_loaded_per_day_to_produce_the_eggs_for_stockpiling</vt:lpstr>
      <vt:lpstr>Cage_units_to_be_loaded_per_day_to_produce_the_MO_eggs</vt:lpstr>
      <vt:lpstr>'13 Const. cost'!Component_4_percentage</vt:lpstr>
      <vt:lpstr>'14 Workload'!Component_4_percentage</vt:lpstr>
      <vt:lpstr>Component_4_percentage</vt:lpstr>
      <vt:lpstr>'13 Const. cost'!Component_5_percentage</vt:lpstr>
      <vt:lpstr>'14 Workload'!Component_5_percentage</vt:lpstr>
      <vt:lpstr>Component_5_percentage</vt:lpstr>
      <vt:lpstr>'13 Const. cost'!Component_6_percentage</vt:lpstr>
      <vt:lpstr>'14 Workload'!Component_6_percentage</vt:lpstr>
      <vt:lpstr>Component_6_percentage</vt:lpstr>
      <vt:lpstr>'13 Const. cost'!construction_cost_of_mass_rearing_facility</vt:lpstr>
      <vt:lpstr>'14 Workload'!construction_cost_of_mass_rearing_facility</vt:lpstr>
      <vt:lpstr>'13 Const. cost'!construction_cost_of_release_facility</vt:lpstr>
      <vt:lpstr>'14 Workload'!construction_cost_of_release_facility</vt:lpstr>
      <vt:lpstr>density_of_larvae_in_colony_trays</vt:lpstr>
      <vt:lpstr>depth_of_colony_larval_tray</vt:lpstr>
      <vt:lpstr>duration_of_gonotrophic_cycle</vt:lpstr>
      <vt:lpstr>'13 Const. cost'!Duration_of_males_holding_before_release</vt:lpstr>
      <vt:lpstr>'14 Workload'!Duration_of_males_holding_before_release</vt:lpstr>
      <vt:lpstr>Duration_of_males_holding_before_release</vt:lpstr>
      <vt:lpstr>'13 Const. cost'!Duration_of_the_larval_cycle__Colony</vt:lpstr>
      <vt:lpstr>'14 Workload'!Duration_of_the_larval_cycle__Colony</vt:lpstr>
      <vt:lpstr>Duration_of_the_larval_cycle__Colony</vt:lpstr>
      <vt:lpstr>'13 Const. cost'!Egg_hatching_rate</vt:lpstr>
      <vt:lpstr>'14 Workload'!Egg_hatching_rate</vt:lpstr>
      <vt:lpstr>Egg_hatching_rate</vt:lpstr>
      <vt:lpstr>'13 Const. cost'!eggs_to_be_hatched_per_day_for_male_only_production</vt:lpstr>
      <vt:lpstr>'14 Workload'!eggs_to_be_hatched_per_day_for_male_only_production</vt:lpstr>
      <vt:lpstr>eggs_to_be_hatched_per_day_for_male_only_production</vt:lpstr>
      <vt:lpstr>'13 Const. cost'!eggs_to_be_hatched_per_week_for_male_only_production</vt:lpstr>
      <vt:lpstr>'14 Workload'!eggs_to_be_hatched_per_week_for_male_only_production</vt:lpstr>
      <vt:lpstr>eggs_to_be_hatched_per_week_for_male_only_production</vt:lpstr>
      <vt:lpstr>Expected_number_of_male_pupae_to_be_produced_per_day</vt:lpstr>
      <vt:lpstr>'13 Const. cost'!Expected_number_of_male_pupae_to_be_produced_per_week</vt:lpstr>
      <vt:lpstr>'14 Workload'!Expected_number_of_male_pupae_to_be_produced_per_week</vt:lpstr>
      <vt:lpstr>Expected_number_of_male_pupae_to_be_produced_per_week</vt:lpstr>
      <vt:lpstr>female_pupae_load_per_colony_cage</vt:lpstr>
      <vt:lpstr>female_pupae_load_per_egging_cage</vt:lpstr>
      <vt:lpstr>female_pupae_load_per_egging_cage_for_MO_eggs</vt:lpstr>
      <vt:lpstr>'13 Const. cost'!female_pupae_recovery_after_first_sorting</vt:lpstr>
      <vt:lpstr>'14 Workload'!female_pupae_recovery_after_first_sorting</vt:lpstr>
      <vt:lpstr>female_pupae_recovery_after_first_sorting</vt:lpstr>
      <vt:lpstr>'13 Const. cost'!female_pupae_recovery_after_second_sorting</vt:lpstr>
      <vt:lpstr>'14 Workload'!female_pupae_recovery_after_second_sorting</vt:lpstr>
      <vt:lpstr>female_pupae_recovery_after_second_sorting</vt:lpstr>
      <vt:lpstr>'13 Const. cost'!female_pupae_recovery_after_third_sorting</vt:lpstr>
      <vt:lpstr>'14 Workload'!female_pupae_recovery_after_third_sorting</vt:lpstr>
      <vt:lpstr>female_pupae_recovery_after_third_sorting</vt:lpstr>
      <vt:lpstr>'13 Const. cost'!females_in_colony_cages</vt:lpstr>
      <vt:lpstr>'14 Workload'!females_in_colony_cages</vt:lpstr>
      <vt:lpstr>females_in_colony_cages</vt:lpstr>
      <vt:lpstr>'13 Const. cost'!females_per_male</vt:lpstr>
      <vt:lpstr>'14 Workload'!females_per_male</vt:lpstr>
      <vt:lpstr>females_per_male</vt:lpstr>
      <vt:lpstr>free_space_between_trays</vt:lpstr>
      <vt:lpstr>'13 Const. cost'!frequency_of_blood_feeding</vt:lpstr>
      <vt:lpstr>'14 Workload'!frequency_of_blood_feeding</vt:lpstr>
      <vt:lpstr>frequency_of_blood_feeding</vt:lpstr>
      <vt:lpstr>'13 Const. cost'!frequency_of_egg_collection</vt:lpstr>
      <vt:lpstr>'14 Workload'!frequency_of_egg_collection</vt:lpstr>
      <vt:lpstr>frequency_of_egg_collection</vt:lpstr>
      <vt:lpstr>hatching</vt:lpstr>
      <vt:lpstr>Hatching_rate</vt:lpstr>
      <vt:lpstr>height_of_tray_columns</vt:lpstr>
      <vt:lpstr>'13 Const. cost'!investment_needed_for_equipment</vt:lpstr>
      <vt:lpstr>'14 Workload'!investment_needed_for_equipment</vt:lpstr>
      <vt:lpstr>investment_needed_for_equipment</vt:lpstr>
      <vt:lpstr>L1_per_colony_tray</vt:lpstr>
      <vt:lpstr>'13 Const. cost'!larval_diet_mixer_capacity</vt:lpstr>
      <vt:lpstr>'14 Workload'!larval_diet_mixer_capacity</vt:lpstr>
      <vt:lpstr>'13 Const. cost'!lifespan_of_emergence_facility</vt:lpstr>
      <vt:lpstr>'13 Const. cost'!lifespan_of_mass_rearing_facility</vt:lpstr>
      <vt:lpstr>'13 Const. cost'!male_pupae_recovery_after_first_sorting</vt:lpstr>
      <vt:lpstr>'14 Workload'!male_pupae_recovery_after_first_sorting</vt:lpstr>
      <vt:lpstr>male_pupae_recovery_after_first_sorting</vt:lpstr>
      <vt:lpstr>'13 Const. cost'!male_pupae_recovery_after_second_sorting</vt:lpstr>
      <vt:lpstr>'14 Workload'!male_pupae_recovery_after_second_sorting</vt:lpstr>
      <vt:lpstr>male_pupae_recovery_after_second_sorting</vt:lpstr>
      <vt:lpstr>'13 Const. cost'!male_pupae_recovery_after_third_sorting</vt:lpstr>
      <vt:lpstr>'14 Workload'!male_pupae_recovery_after_third_sorting</vt:lpstr>
      <vt:lpstr>male_pupae_recovery_after_third_sorting</vt:lpstr>
      <vt:lpstr>'13 Const. cost'!Males_per_MO_cage</vt:lpstr>
      <vt:lpstr>'14 Workload'!Males_per_MO_cage</vt:lpstr>
      <vt:lpstr>Males_per_MO_cage</vt:lpstr>
      <vt:lpstr>'13 Const. cost'!MO_cages_loaded_per_day</vt:lpstr>
      <vt:lpstr>'14 Workload'!MO_cages_loaded_per_day</vt:lpstr>
      <vt:lpstr>MO_cages_loaded_per_day</vt:lpstr>
      <vt:lpstr>'13 Const. cost'!number_of_gonotrophic_cycles_colonies</vt:lpstr>
      <vt:lpstr>'14 Workload'!number_of_gonotrophic_cycles_colonies</vt:lpstr>
      <vt:lpstr>number_of_gonotrophic_cycles_colonies</vt:lpstr>
      <vt:lpstr>number_of_gonotrophic_cycles_in_colony</vt:lpstr>
      <vt:lpstr>Number_of_larval_trays_per_rack__Colony</vt:lpstr>
      <vt:lpstr>'13 Const. cost'!Number_of_MO_larval_trays_to_be_loaded_with_L1_per_day</vt:lpstr>
      <vt:lpstr>'14 Workload'!Number_of_MO_larval_trays_to_be_loaded_with_L1_per_day</vt:lpstr>
      <vt:lpstr>Number_of_MO_larval_trays_to_be_loaded_with_L1_per_day</vt:lpstr>
      <vt:lpstr>'13 Const. cost'!number_of_MO_racks_to_hold_the_trays_seeded_with_eggs_everyday</vt:lpstr>
      <vt:lpstr>'14 Workload'!number_of_MO_racks_to_hold_the_trays_seeded_with_eggs_everyday</vt:lpstr>
      <vt:lpstr>number_of_MO_racks_to_hold_the_trays_seeded_with_eggs_everyday</vt:lpstr>
      <vt:lpstr>number_of_MO_racks_to_hold_the_trays_seeded_with_eggs_needed_everyday</vt:lpstr>
      <vt:lpstr>'13 Const. cost'!Number_of_ovipositing_females_to_be_replaced_everyday</vt:lpstr>
      <vt:lpstr>'14 Workload'!Number_of_ovipositing_females_to_be_replaced_everyday</vt:lpstr>
      <vt:lpstr>Number_of_ovipositing_females_to_be_replaced_everyday</vt:lpstr>
      <vt:lpstr>Number_of_ovipositing_females_to_be_replaced_everyday_for_MO_egg_production</vt:lpstr>
      <vt:lpstr>Number_of_pupae_per_irradiation_canister</vt:lpstr>
      <vt:lpstr>number_of_racks_to_hold_the_MO_trays_seeded_with_eggs_everyday</vt:lpstr>
      <vt:lpstr>'13 Const. cost'!Number_of_weeks_with_releases_per_year</vt:lpstr>
      <vt:lpstr>'14 Workload'!Number_of_weeks_with_releases_per_year</vt:lpstr>
      <vt:lpstr>Number_of_weeks_with_releases_per_year</vt:lpstr>
      <vt:lpstr>'13 Const. cost'!Oversize_factor_cages</vt:lpstr>
      <vt:lpstr>'14 Workload'!Oversize_factor_cages</vt:lpstr>
      <vt:lpstr>Oversize_factor_cages</vt:lpstr>
      <vt:lpstr>'13 Const. cost'!Oversize_factor_larval_trays</vt:lpstr>
      <vt:lpstr>'14 Workload'!Oversize_factor_larval_trays</vt:lpstr>
      <vt:lpstr>Oversize_factor_larval_trays</vt:lpstr>
      <vt:lpstr>'13 Const. cost'!Oversize_factor_racks</vt:lpstr>
      <vt:lpstr>'14 Workload'!Oversize_factor_racks</vt:lpstr>
      <vt:lpstr>Oversize_factor_racks</vt:lpstr>
      <vt:lpstr>'13 Const. cost'!Ovipositing_females_permanently_in_the_colony</vt:lpstr>
      <vt:lpstr>'14 Workload'!Ovipositing_females_permanently_in_the_colony</vt:lpstr>
      <vt:lpstr>Ovipositing_females_permanently_in_the_colony</vt:lpstr>
      <vt:lpstr>'13 Const. cost'!Oviposition_cages_permanently_in_use_for_MO_egg_production</vt:lpstr>
      <vt:lpstr>'14 Workload'!Oviposition_cages_permanently_in_use_for_MO_egg_production</vt:lpstr>
      <vt:lpstr>Oviposition_cages_permanently_in_use_for_MO_egg_production</vt:lpstr>
      <vt:lpstr>'13 Const. cost'!Oviposition_period</vt:lpstr>
      <vt:lpstr>'14 Workload'!Oviposition_period</vt:lpstr>
      <vt:lpstr>Oviposition_period</vt:lpstr>
      <vt:lpstr>'13 Const. cost'!petri_per_irradiation_canister</vt:lpstr>
      <vt:lpstr>'14 Workload'!petri_per_irradiation_canister</vt:lpstr>
      <vt:lpstr>'13 Const. cost'!Pre_oviposition_cages_permanently_in_use_for_MO_egg_production</vt:lpstr>
      <vt:lpstr>'14 Workload'!Pre_oviposition_cages_permanently_in_use_for_MO_egg_production</vt:lpstr>
      <vt:lpstr>Pre_oviposition_cages_permanently_in_use_for_MO_egg_production</vt:lpstr>
      <vt:lpstr>'13 Const. cost'!Pre_oviposition_period</vt:lpstr>
      <vt:lpstr>'14 Workload'!Pre_oviposition_period</vt:lpstr>
      <vt:lpstr>Pre_oviposition_period</vt:lpstr>
      <vt:lpstr>pupae_load_per_egging_cage_for_MO_eggs</vt:lpstr>
      <vt:lpstr>'13 Const. cost'!pupae_load_per_MO_cage</vt:lpstr>
      <vt:lpstr>'14 Workload'!pupae_load_per_MO_cage</vt:lpstr>
      <vt:lpstr>pupae_load_per_MO_cage</vt:lpstr>
      <vt:lpstr>'13 Const. cost'!Ration_per_one_larva_on_day_1</vt:lpstr>
      <vt:lpstr>'14 Workload'!Ration_per_one_larva_on_day_1</vt:lpstr>
      <vt:lpstr>Ration_per_one_larva_on_day_1</vt:lpstr>
      <vt:lpstr>'13 Const. cost'!Ration_per_one_larva_on_day_2</vt:lpstr>
      <vt:lpstr>'14 Workload'!Ration_per_one_larva_on_day_2</vt:lpstr>
      <vt:lpstr>Ration_per_one_larva_on_day_2</vt:lpstr>
      <vt:lpstr>'13 Const. cost'!Ration_per_one_larva_on_day_3</vt:lpstr>
      <vt:lpstr>'14 Workload'!Ration_per_one_larva_on_day_3</vt:lpstr>
      <vt:lpstr>Ration_per_one_larva_on_day_3</vt:lpstr>
      <vt:lpstr>'13 Const. cost'!Ration_per_one_larva_on_day_4</vt:lpstr>
      <vt:lpstr>'14 Workload'!Ration_per_one_larva_on_day_4</vt:lpstr>
      <vt:lpstr>Ration_per_one_larva_on_day_4</vt:lpstr>
      <vt:lpstr>'13 Const. cost'!Ration_per_one_larva_on_day_5</vt:lpstr>
      <vt:lpstr>'14 Workload'!Ration_per_one_larva_on_day_5</vt:lpstr>
      <vt:lpstr>Ration_per_one_larva_on_day_5</vt:lpstr>
      <vt:lpstr>'13 Const. cost'!Ration_per_one_larva_on_day_6_and_after</vt:lpstr>
      <vt:lpstr>'14 Workload'!Ration_per_one_larva_on_day_6_and_after</vt:lpstr>
      <vt:lpstr>Ration_per_one_larva_on_day_6_and_after</vt:lpstr>
      <vt:lpstr>'13 Const. cost'!size_of_store_for_diet_ingredients</vt:lpstr>
      <vt:lpstr>'14 Workload'!size_of_store_for_diet_ingredients</vt:lpstr>
      <vt:lpstr>size_of_store_for_diet_ingredients</vt:lpstr>
      <vt:lpstr>'13 Const. cost'!Sugar_percentage_in_adult_diet</vt:lpstr>
      <vt:lpstr>'14 Workload'!Sugar_percentage_in_adult_diet</vt:lpstr>
      <vt:lpstr>Sugar_percentage_in_adult_diet</vt:lpstr>
      <vt:lpstr>Survival_eggs_to_pupae</vt:lpstr>
      <vt:lpstr>'13 Const. cost'!Survival_eggs_to_pupae_Colony</vt:lpstr>
      <vt:lpstr>'14 Workload'!Survival_eggs_to_pupae_Colony</vt:lpstr>
      <vt:lpstr>Survival_eggs_to_pupae_Colony</vt:lpstr>
      <vt:lpstr>Survival_L1_pupae_Colony</vt:lpstr>
      <vt:lpstr>Survival_L1_to_pupae_Colony</vt:lpstr>
      <vt:lpstr>'13 Const. cost'!Survival_pupae_to_flying_females</vt:lpstr>
      <vt:lpstr>'14 Workload'!Survival_pupae_to_flying_females</vt:lpstr>
      <vt:lpstr>Survival_pupae_to_flying_females</vt:lpstr>
      <vt:lpstr>'13 Const. cost'!Survival_pupae_to_flying_males</vt:lpstr>
      <vt:lpstr>'14 Workload'!Survival_pupae_to_flying_males</vt:lpstr>
      <vt:lpstr>Survival_pupae_to_flying_males</vt:lpstr>
      <vt:lpstr>'13 Const. cost'!total_construction_atrea_of_the_mass_rearing_facility</vt:lpstr>
      <vt:lpstr>'14 Workload'!total_construction_atrea_of_the_mass_rearing_facility</vt:lpstr>
      <vt:lpstr>total_construction_atrea_of_the_mass_rearing_facility</vt:lpstr>
      <vt:lpstr>'13 Const. cost'!total_construction_atrea_of_the_release_facility</vt:lpstr>
      <vt:lpstr>'14 Workload'!total_construction_atrea_of_the_release_facility</vt:lpstr>
      <vt:lpstr>total_construction_atrea_of_the_release_facility</vt:lpstr>
      <vt:lpstr>'13 Const. cost'!Total_number_of_cages_permanently_in_use_for_MO_egg_production__Preoviposition_Oviposition</vt:lpstr>
      <vt:lpstr>'14 Workload'!Total_number_of_cages_permanently_in_use_for_MO_egg_production__Preoviposition_Oviposition</vt:lpstr>
      <vt:lpstr>Total_number_of_cages_permanently_in_use_for_MO_egg_production__Preoviposition_Oviposition</vt:lpstr>
      <vt:lpstr>Total_number_of_cages_permanently_in_use_in_the_adults_room__Preoviposition_Oviposition</vt:lpstr>
      <vt:lpstr>'13 Const. cost'!Total_number_of_cages_permanently_in_use_in_the_emergence_center</vt:lpstr>
      <vt:lpstr>'14 Workload'!Total_number_of_cages_permanently_in_use_in_the_emergence_center</vt:lpstr>
      <vt:lpstr>Total_number_of_cages_permanently_in_use_in_the_emergence_center</vt:lpstr>
      <vt:lpstr>'13 Const. cost'!Total_number_of_MO_trays_permanently_in_use_in_the_larval_room</vt:lpstr>
      <vt:lpstr>'14 Workload'!Total_number_of_MO_trays_permanently_in_use_in_the_larval_room</vt:lpstr>
      <vt:lpstr>Total_number_of_MO_trays_permanently_in_use_in_the_larval_room</vt:lpstr>
      <vt:lpstr>'13 Const. cost'!Total_number_of_racks_permanently_in_use_in_the_larval_room</vt:lpstr>
      <vt:lpstr>'14 Workload'!Total_number_of_racks_permanently_in_use_in_the_larval_room</vt:lpstr>
      <vt:lpstr>Total_number_of_racks_permanently_in_use_in_the_larval_room</vt:lpstr>
      <vt:lpstr>Total_number_of_racks_permanently_in_use_in_the_larval_room_for_MO</vt:lpstr>
      <vt:lpstr>Total_number_of_racks_permanently_in_use_in_the_larval_room_MO</vt:lpstr>
      <vt:lpstr>Total_number_of_trays_permanently_in_use_in_the_larval_room</vt:lpstr>
      <vt:lpstr>'13 Const. cost'!tray_washing_machine_capacity</vt:lpstr>
      <vt:lpstr>'14 Workload'!tray_washing_machine_capacity</vt:lpstr>
      <vt:lpstr>'13 Const. cost'!Tuna_meal_percentage</vt:lpstr>
      <vt:lpstr>'14 Workload'!Tuna_meal_percentage</vt:lpstr>
      <vt:lpstr>Tuna_meal_percentage</vt:lpstr>
      <vt:lpstr>'13 Const. cost'!Vertical_net_in_colony_cages</vt:lpstr>
      <vt:lpstr>'14 Workload'!Vertical_net_in_colony_cages</vt:lpstr>
      <vt:lpstr>Vertical_net_in_colony_cages</vt:lpstr>
      <vt:lpstr>Vertical_net_in_MO_cages</vt:lpstr>
      <vt:lpstr>'13 Const. cost'!Vertical_resting_place_for_colony_cages</vt:lpstr>
      <vt:lpstr>'14 Workload'!Vertical_resting_place_for_colony_cages</vt:lpstr>
      <vt:lpstr>Vertical_resting_place_for_colony_cages</vt:lpstr>
      <vt:lpstr>'13 Const. cost'!Vertical_resting_place_in_colony_cages</vt:lpstr>
      <vt:lpstr>'14 Workload'!Vertical_resting_place_in_colony_cages</vt:lpstr>
      <vt:lpstr>Vertical_resting_place_in_colony_cages</vt:lpstr>
      <vt:lpstr>'13 Const. cost'!Verticla_resting_place_in_MO_cages</vt:lpstr>
      <vt:lpstr>'14 Workload'!Verticla_resting_place_in_MO_cages</vt:lpstr>
      <vt:lpstr>Verticla_resting_place_in_MO_cages</vt:lpstr>
      <vt:lpstr>Vitamin_mix_percentage</vt:lpstr>
      <vt:lpstr>volume_of_colony_trays</vt:lpstr>
      <vt:lpstr>'13 Const. cost'!Volume_of_water_per_colony_cage</vt:lpstr>
      <vt:lpstr>'14 Workload'!Volume_of_water_per_colony_cage</vt:lpstr>
      <vt:lpstr>Volume_of_water_per_colony_cage</vt:lpstr>
      <vt:lpstr>'13 Const. cost'!Volume_of_water_per_MO_cage</vt:lpstr>
      <vt:lpstr>'14 Workload'!Volume_of_water_per_MO_cage</vt:lpstr>
      <vt:lpstr>Volume_of_water_per_MO_cage</vt:lpstr>
      <vt:lpstr>'13 Const. cost'!Volume_ol_larval_diet_added_on_day_1</vt:lpstr>
      <vt:lpstr>'14 Workload'!Volume_ol_larval_diet_added_on_day_1</vt:lpstr>
      <vt:lpstr>Volume_ol_larval_diet_added_on_day_1</vt:lpstr>
      <vt:lpstr>'13 Const. cost'!Volume_ol_larval_diet_added_on_day_2</vt:lpstr>
      <vt:lpstr>'14 Workload'!Volume_ol_larval_diet_added_on_day_2</vt:lpstr>
      <vt:lpstr>Volume_ol_larval_diet_added_on_day_2</vt:lpstr>
      <vt:lpstr>'13 Const. cost'!Volume_ol_larval_diet_added_on_day_3</vt:lpstr>
      <vt:lpstr>'14 Workload'!Volume_ol_larval_diet_added_on_day_3</vt:lpstr>
      <vt:lpstr>Volume_ol_larval_diet_added_on_day_3</vt:lpstr>
      <vt:lpstr>'13 Const. cost'!Volume_ol_larval_diet_added_on_day_4</vt:lpstr>
      <vt:lpstr>'14 Workload'!Volume_ol_larval_diet_added_on_day_4</vt:lpstr>
      <vt:lpstr>Volume_ol_larval_diet_added_on_day_4</vt:lpstr>
      <vt:lpstr>'13 Const. cost'!Volume_ol_larval_diet_added_on_day_5</vt:lpstr>
      <vt:lpstr>'14 Workload'!Volume_ol_larval_diet_added_on_day_5</vt:lpstr>
      <vt:lpstr>Volume_ol_larval_diet_added_on_day_5</vt:lpstr>
      <vt:lpstr>'13 Const. cost'!Volume_ol_larval_diet_added_on_day_6</vt:lpstr>
      <vt:lpstr>'14 Workload'!Volume_ol_larval_diet_added_on_day_6</vt:lpstr>
      <vt:lpstr>Volume_ol_larval_diet_added_on_day_6</vt:lpstr>
      <vt:lpstr>'13 Const. cost'!Volume_ol_larval_diet_added_on_day_7__after_1st_sorting</vt:lpstr>
      <vt:lpstr>'14 Workload'!Volume_ol_larval_diet_added_on_day_7__after_1st_sorting</vt:lpstr>
      <vt:lpstr>Volume_ol_larval_diet_added_on_day_7__after_1st_sorting</vt:lpstr>
      <vt:lpstr>'13 Const. cost'!Volume_ol_larval_diet_added_on_day_8__after_2nd_sorting</vt:lpstr>
      <vt:lpstr>'14 Workload'!Volume_ol_larval_diet_added_on_day_8__after_2nd_sorting</vt:lpstr>
      <vt:lpstr>Volume_ol_larval_diet_added_on_day_8__after_2nd_sorting</vt:lpstr>
      <vt:lpstr>'13 Const. cost'!Water_percentage_in_adult_diet</vt:lpstr>
      <vt:lpstr>'14 Workload'!Water_percentage_in_adult_diet</vt:lpstr>
      <vt:lpstr>Water_percentage_in_adult_diet</vt:lpstr>
      <vt:lpstr>'13 Const. cost'!Weekly_pupal_production</vt:lpstr>
      <vt:lpstr>'14 Workload'!Weekly_pupal_production</vt:lpstr>
      <vt:lpstr>Weekly_pupal_production</vt:lpstr>
      <vt:lpstr>Weekly_pupal_production_level_for_release</vt:lpstr>
      <vt:lpstr>'13 Const. cost'!Weight_of_sugar_per_colony_cage</vt:lpstr>
      <vt:lpstr>'14 Workload'!Weight_of_sugar_per_colony_cage</vt:lpstr>
      <vt:lpstr>Weight_of_sugar_per_colony_cage</vt:lpstr>
      <vt:lpstr>'13 Const. cost'!Weight_of_sugar_per_MO_cage</vt:lpstr>
      <vt:lpstr>'14 Workload'!Weight_of_sugar_per_MO_cage</vt:lpstr>
      <vt:lpstr>Weight_of_sugar_per_MO_cage</vt:lpstr>
      <vt:lpstr>'13 Const. cost'!Yearly_cost_of_consumables</vt:lpstr>
      <vt:lpstr>'14 Workload'!Yearly_cost_of_consumables</vt:lpstr>
      <vt:lpstr>Yearly_cost_of_consumables</vt:lpstr>
      <vt:lpstr>'13 Const. cost'!yearly_depreciation_of_emergence_facility</vt:lpstr>
      <vt:lpstr>'14 Workload'!yearly_depreciation_of_emergence_facility</vt:lpstr>
      <vt:lpstr>'13 Const. cost'!yearly_depreciation_of_equipment</vt:lpstr>
      <vt:lpstr>'14 Workload'!yearly_depreciation_of_equipment</vt:lpstr>
      <vt:lpstr>yearly_depreciation_of_equipment</vt:lpstr>
      <vt:lpstr>'13 Const. cost'!yearly_depreciation_of_mass_rearing_facility</vt:lpstr>
      <vt:lpstr>'14 Workload'!yearly_depreciation_of_mass_rearing_facility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ARGILES HERRERO, Rafael</cp:lastModifiedBy>
  <cp:lastPrinted>2015-04-28T09:04:13Z</cp:lastPrinted>
  <dcterms:created xsi:type="dcterms:W3CDTF">1999-01-29T15:04:05Z</dcterms:created>
  <dcterms:modified xsi:type="dcterms:W3CDTF">2019-05-31T07:43:23Z</dcterms:modified>
</cp:coreProperties>
</file>